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NL\Desktop\"/>
    </mc:Choice>
  </mc:AlternateContent>
  <xr:revisionPtr revIDLastSave="0" documentId="13_ncr:1_{A6100C36-934A-47D0-9DE7-7F4FBCD50F7C}" xr6:coauthVersionLast="43" xr6:coauthVersionMax="43" xr10:uidLastSave="{00000000-0000-0000-0000-000000000000}"/>
  <bookViews>
    <workbookView xWindow="0" yWindow="0" windowWidth="28800" windowHeight="15600" tabRatio="787" xr2:uid="{00000000-000D-0000-FFFF-FFFF00000000}"/>
  </bookViews>
  <sheets>
    <sheet name="Fisurare SREN 1992-1.1" sheetId="6" r:id="rId1"/>
    <sheet name="Date de intrare si calcul" sheetId="7" state="hidden" r:id="rId2"/>
    <sheet name="Sheet1" sheetId="8" r:id="rId3"/>
  </sheets>
  <definedNames>
    <definedName name="Beton">'Date de intrare si calcul'!$A$4:$A$17</definedName>
    <definedName name="Beton_Ecm">'Date de intrare si calcul'!$H$4:$H$17</definedName>
    <definedName name="Beton_fck">'Date de intrare si calcul'!$B$4:$B$17</definedName>
    <definedName name="Beton_fcm">'Date de intrare si calcul'!$D$4:$D$17</definedName>
    <definedName name="Beton_fctk">'Date de intrare si calcul'!$F$4:$F$17</definedName>
    <definedName name="Beton_fctm">'Date de intrare si calcul'!$E$4:$E$17</definedName>
    <definedName name="Beton_ε2">'Date de intrare si calcul'!$J$4:$J$17</definedName>
    <definedName name="Beton_εu">'Date de intrare si calcul'!$K$4:$K$17</definedName>
    <definedName name="fcd">'Fisurare SREN 1992-1.1'!$B$3</definedName>
    <definedName name="fck">'Fisurare SREN 1992-1.1'!$F$3</definedName>
    <definedName name="fcm">'Fisurare SREN 1992-1.1'!$D$3</definedName>
    <definedName name="fctd">'Fisurare SREN 1992-1.1'!$C$3</definedName>
    <definedName name="fctm">'Fisurare SREN 1992-1.1'!$E$3</definedName>
    <definedName name="fyd">'Fisurare SREN 1992-1.1'!$B$6</definedName>
    <definedName name="fyk">'Fisurare SREN 1992-1.1'!$C$6</definedName>
    <definedName name="fym">'Fisurare SREN 1992-1.1'!$D$6</definedName>
    <definedName name="fywd">'Fisurare SREN 1992-1.1'!$B$9</definedName>
    <definedName name="fywk">'Fisurare SREN 1992-1.1'!$C$9</definedName>
    <definedName name="fywm">'Fisurare SREN 1992-1.1'!$D$9</definedName>
    <definedName name="Otel">'Date de intrare si calcul'!$A$21:$A$24</definedName>
    <definedName name="Otel_Es">'Date de intrare si calcul'!$H$21:$H$24</definedName>
    <definedName name="Otel_fyk">'Date de intrare si calcul'!$D$21:$D$24</definedName>
    <definedName name="Otel_fym">'Date de intrare si calcul'!$E$21:$E$24</definedName>
    <definedName name="Otel_εo">'Date de intrare si calcul'!$F$21:$F$24</definedName>
    <definedName name="Otel_εu">'Date de intrare si calcul'!$G$21:$G$24</definedName>
    <definedName name="νfcd">'Fisurare SREN 1992-1.1'!$L$3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2" i="6" l="1"/>
  <c r="E93" i="6"/>
  <c r="B88" i="6" l="1"/>
  <c r="B71" i="6"/>
  <c r="B70" i="6"/>
  <c r="H37" i="6" l="1"/>
  <c r="B85" i="6"/>
  <c r="K37" i="6" l="1"/>
  <c r="L37" i="6" s="1"/>
  <c r="B80" i="6" s="1"/>
  <c r="B75" i="6"/>
  <c r="B67" i="6"/>
  <c r="J22" i="6"/>
  <c r="K22" i="6" s="1"/>
  <c r="B57" i="6"/>
  <c r="B56" i="6"/>
  <c r="L14" i="6"/>
  <c r="I37" i="6"/>
  <c r="J32" i="6"/>
  <c r="J23" i="6"/>
  <c r="J31" i="6"/>
  <c r="K31" i="6" s="1"/>
  <c r="I32" i="6"/>
  <c r="I31" i="6"/>
  <c r="J27" i="6"/>
  <c r="I27" i="6"/>
  <c r="M27" i="6" s="1"/>
  <c r="E15" i="6" s="1"/>
  <c r="B27" i="6"/>
  <c r="L27" i="6" s="1"/>
  <c r="I23" i="6"/>
  <c r="I22" i="6"/>
  <c r="H12" i="6"/>
  <c r="G13" i="6"/>
  <c r="E13" i="6"/>
  <c r="E11" i="6"/>
  <c r="F18" i="6"/>
  <c r="B81" i="6" l="1"/>
  <c r="J14" i="6"/>
  <c r="K14" i="6"/>
  <c r="K27" i="6"/>
  <c r="K32" i="6"/>
  <c r="L31" i="6" s="1"/>
  <c r="M31" i="6"/>
  <c r="E17" i="6" s="1"/>
  <c r="M22" i="6"/>
  <c r="F9" i="6"/>
  <c r="C9" i="6"/>
  <c r="B9" i="6" s="1"/>
  <c r="F6" i="6"/>
  <c r="H21" i="7"/>
  <c r="C6" i="6"/>
  <c r="J3" i="6"/>
  <c r="K3" i="6" s="1"/>
  <c r="I3" i="6"/>
  <c r="H3" i="6"/>
  <c r="E3" i="6"/>
  <c r="B86" i="6" s="1"/>
  <c r="D3" i="6"/>
  <c r="G3" i="6"/>
  <c r="C3" i="6" s="1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4" i="7"/>
  <c r="F3" i="6"/>
  <c r="H24" i="7"/>
  <c r="F24" i="7" s="1"/>
  <c r="D6" i="6" s="1"/>
  <c r="B24" i="7"/>
  <c r="H23" i="7"/>
  <c r="E23" i="7"/>
  <c r="D23" i="7"/>
  <c r="H22" i="7"/>
  <c r="E22" i="7"/>
  <c r="D22" i="7"/>
  <c r="E21" i="7"/>
  <c r="D21" i="7"/>
  <c r="E9" i="6" l="1"/>
  <c r="D9" i="6"/>
  <c r="G9" i="6"/>
  <c r="B79" i="6" s="1"/>
  <c r="G6" i="6"/>
  <c r="B60" i="6" s="1"/>
  <c r="B68" i="6"/>
  <c r="K33" i="6"/>
  <c r="H11" i="6"/>
  <c r="K23" i="6"/>
  <c r="F22" i="7"/>
  <c r="F21" i="7"/>
  <c r="F23" i="7"/>
  <c r="K24" i="6" l="1"/>
  <c r="L22" i="6"/>
  <c r="B82" i="6" s="1"/>
  <c r="E6" i="6"/>
  <c r="B66" i="6" l="1"/>
  <c r="B84" i="6"/>
  <c r="D88" i="6" s="1"/>
  <c r="B61" i="6"/>
  <c r="B62" i="6" s="1"/>
  <c r="B63" i="6" s="1"/>
  <c r="B92" i="6" s="1"/>
  <c r="B6" i="6"/>
  <c r="B93" i="6" l="1"/>
  <c r="D70" i="6"/>
  <c r="B3" i="6"/>
  <c r="D71" i="6" l="1"/>
  <c r="L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n2</author>
  </authors>
  <commentList>
    <comment ref="A4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întindere semn pozitiv, iar compresiune semn negativ</t>
        </r>
      </text>
    </comment>
    <comment ref="B4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negativ pentru întindere la partea superioară și pozitiv pentru întindere la partea inferiaoră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n- solicitare de întindere;
m- solicitare de încovoiere;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<sst xmlns="http://schemas.openxmlformats.org/spreadsheetml/2006/main" count="217" uniqueCount="155">
  <si>
    <t>Clasa</t>
  </si>
  <si>
    <t>C12/15</t>
  </si>
  <si>
    <t>C16/20</t>
  </si>
  <si>
    <t>C20/25</t>
  </si>
  <si>
    <t>C25/30</t>
  </si>
  <si>
    <t>C30/37</t>
  </si>
  <si>
    <t>C35/45</t>
  </si>
  <si>
    <t>C40/50</t>
  </si>
  <si>
    <t>C50/60</t>
  </si>
  <si>
    <t>TIPUL</t>
  </si>
  <si>
    <t>OB37</t>
  </si>
  <si>
    <t>PC52</t>
  </si>
  <si>
    <t>PC60</t>
  </si>
  <si>
    <t>E (MPa)</t>
  </si>
  <si>
    <r>
      <t>f</t>
    </r>
    <r>
      <rPr>
        <b/>
        <vertAlign val="subscript"/>
        <sz val="11"/>
        <rFont val="Arial Narrow"/>
        <family val="2"/>
      </rPr>
      <t xml:space="preserve">cd </t>
    </r>
    <r>
      <rPr>
        <b/>
        <sz val="11"/>
        <rFont val="Arial Narrow"/>
        <family val="2"/>
      </rPr>
      <t>(MPa)</t>
    </r>
  </si>
  <si>
    <r>
      <t>f</t>
    </r>
    <r>
      <rPr>
        <b/>
        <vertAlign val="subscript"/>
        <sz val="11"/>
        <rFont val="Arial Narrow"/>
        <family val="2"/>
      </rPr>
      <t xml:space="preserve">cm </t>
    </r>
    <r>
      <rPr>
        <b/>
        <sz val="11"/>
        <rFont val="Arial Narrow"/>
        <family val="2"/>
      </rPr>
      <t>(MPa)</t>
    </r>
  </si>
  <si>
    <r>
      <t>f</t>
    </r>
    <r>
      <rPr>
        <b/>
        <vertAlign val="subscript"/>
        <sz val="11"/>
        <rFont val="Arial Narrow"/>
        <family val="2"/>
      </rPr>
      <t xml:space="preserve">ctm </t>
    </r>
    <r>
      <rPr>
        <b/>
        <sz val="11"/>
        <rFont val="Arial Narrow"/>
        <family val="2"/>
      </rPr>
      <t>(MPa)</t>
    </r>
  </si>
  <si>
    <r>
      <t>f</t>
    </r>
    <r>
      <rPr>
        <b/>
        <vertAlign val="subscript"/>
        <sz val="11"/>
        <rFont val="Arial Narrow"/>
        <family val="2"/>
      </rPr>
      <t xml:space="preserve">ck </t>
    </r>
    <r>
      <rPr>
        <b/>
        <sz val="11"/>
        <rFont val="Arial Narrow"/>
        <family val="2"/>
      </rPr>
      <t>(MPa)</t>
    </r>
  </si>
  <si>
    <r>
      <t>ε</t>
    </r>
    <r>
      <rPr>
        <b/>
        <vertAlign val="subscript"/>
        <sz val="11"/>
        <rFont val="Arial Narrow"/>
        <family val="2"/>
      </rPr>
      <t>o 0/00</t>
    </r>
  </si>
  <si>
    <r>
      <t>νf</t>
    </r>
    <r>
      <rPr>
        <b/>
        <vertAlign val="subscript"/>
        <sz val="11"/>
        <rFont val="Arial Narrow"/>
        <family val="2"/>
      </rPr>
      <t>cd</t>
    </r>
  </si>
  <si>
    <r>
      <t>f</t>
    </r>
    <r>
      <rPr>
        <b/>
        <vertAlign val="subscript"/>
        <sz val="11"/>
        <rFont val="Arial Narrow"/>
        <family val="2"/>
      </rPr>
      <t xml:space="preserve">yd </t>
    </r>
    <r>
      <rPr>
        <b/>
        <sz val="11"/>
        <rFont val="Arial Narrow"/>
        <family val="2"/>
      </rPr>
      <t>(MPa)</t>
    </r>
  </si>
  <si>
    <r>
      <t>f</t>
    </r>
    <r>
      <rPr>
        <b/>
        <vertAlign val="subscript"/>
        <sz val="11"/>
        <rFont val="Arial Narrow"/>
        <family val="2"/>
      </rPr>
      <t xml:space="preserve">yk   </t>
    </r>
    <r>
      <rPr>
        <b/>
        <sz val="11"/>
        <rFont val="Arial Narrow"/>
        <family val="2"/>
      </rPr>
      <t>(MPa)</t>
    </r>
  </si>
  <si>
    <r>
      <t>f</t>
    </r>
    <r>
      <rPr>
        <b/>
        <vertAlign val="subscript"/>
        <sz val="11"/>
        <rFont val="Arial Narrow"/>
        <family val="2"/>
      </rPr>
      <t xml:space="preserve">ym </t>
    </r>
    <r>
      <rPr>
        <b/>
        <sz val="11"/>
        <rFont val="Arial Narrow"/>
        <family val="2"/>
      </rPr>
      <t>(MPa)</t>
    </r>
  </si>
  <si>
    <r>
      <t>γ</t>
    </r>
    <r>
      <rPr>
        <b/>
        <vertAlign val="subscript"/>
        <sz val="11"/>
        <rFont val="Arial Narrow"/>
        <family val="2"/>
      </rPr>
      <t>m</t>
    </r>
  </si>
  <si>
    <r>
      <t>ε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/1000</t>
    </r>
  </si>
  <si>
    <r>
      <t>ε</t>
    </r>
    <r>
      <rPr>
        <b/>
        <vertAlign val="subscript"/>
        <sz val="11"/>
        <rFont val="Arial Narrow"/>
        <family val="2"/>
      </rPr>
      <t>u</t>
    </r>
    <r>
      <rPr>
        <b/>
        <sz val="11"/>
        <rFont val="Arial Narrow"/>
        <family val="2"/>
      </rPr>
      <t xml:space="preserve"> /1000</t>
    </r>
  </si>
  <si>
    <t>ARMĂTURĂ LONGITUDINALĂ</t>
  </si>
  <si>
    <t>ARMĂTURĂ TRANSVERSALĂ</t>
  </si>
  <si>
    <t>Clasă Beton</t>
  </si>
  <si>
    <t xml:space="preserve">Oțel </t>
  </si>
  <si>
    <r>
      <t>f</t>
    </r>
    <r>
      <rPr>
        <b/>
        <vertAlign val="subscript"/>
        <sz val="11"/>
        <rFont val="Arial Narrow"/>
        <family val="2"/>
      </rPr>
      <t xml:space="preserve">ctk </t>
    </r>
    <r>
      <rPr>
        <b/>
        <sz val="11"/>
        <rFont val="Arial Narrow"/>
        <family val="2"/>
      </rPr>
      <t>(MPa)</t>
    </r>
  </si>
  <si>
    <t>C45/55</t>
  </si>
  <si>
    <t>C55/67</t>
  </si>
  <si>
    <t>C60/75</t>
  </si>
  <si>
    <t>C70/85</t>
  </si>
  <si>
    <t>C80/95</t>
  </si>
  <si>
    <t>C90/105</t>
  </si>
  <si>
    <t>fck</t>
  </si>
  <si>
    <t>fck,cube</t>
  </si>
  <si>
    <t>fcm</t>
  </si>
  <si>
    <t>fctm</t>
  </si>
  <si>
    <t>fctk,0,05</t>
  </si>
  <si>
    <t>fctk,0,95</t>
  </si>
  <si>
    <t>Ecm(GPa)</t>
  </si>
  <si>
    <r>
      <t>R</t>
    </r>
    <r>
      <rPr>
        <b/>
        <vertAlign val="subscript"/>
        <sz val="10"/>
        <rFont val="Arial Narrow"/>
        <family val="2"/>
      </rPr>
      <t>a</t>
    </r>
    <r>
      <rPr>
        <b/>
        <sz val="10"/>
        <rFont val="Arial Narrow"/>
        <family val="2"/>
      </rPr>
      <t>[MPa]</t>
    </r>
  </si>
  <si>
    <r>
      <t>γ</t>
    </r>
    <r>
      <rPr>
        <b/>
        <vertAlign val="subscript"/>
        <sz val="10"/>
        <rFont val="Arial Narrow"/>
        <family val="2"/>
      </rPr>
      <t>m</t>
    </r>
  </si>
  <si>
    <r>
      <t>R</t>
    </r>
    <r>
      <rPr>
        <b/>
        <vertAlign val="subscript"/>
        <sz val="10"/>
        <rFont val="Arial Narrow"/>
        <family val="2"/>
      </rPr>
      <t>ak</t>
    </r>
    <r>
      <rPr>
        <b/>
        <sz val="10"/>
        <rFont val="Arial Narrow"/>
        <family val="2"/>
      </rPr>
      <t>[MPa]</t>
    </r>
  </si>
  <si>
    <r>
      <t>R</t>
    </r>
    <r>
      <rPr>
        <b/>
        <vertAlign val="subscript"/>
        <sz val="10"/>
        <rFont val="Arial Narrow"/>
        <family val="2"/>
      </rPr>
      <t>am</t>
    </r>
    <r>
      <rPr>
        <b/>
        <sz val="10"/>
        <rFont val="Arial Narrow"/>
        <family val="2"/>
      </rPr>
      <t>[MPa]</t>
    </r>
  </si>
  <si>
    <r>
      <t>ε</t>
    </r>
    <r>
      <rPr>
        <b/>
        <vertAlign val="subscript"/>
        <sz val="10"/>
        <rFont val="Arial Narrow"/>
        <family val="2"/>
      </rPr>
      <t>o</t>
    </r>
    <r>
      <rPr>
        <b/>
        <sz val="10"/>
        <rFont val="Arial Narrow"/>
        <family val="2"/>
      </rPr>
      <t>%</t>
    </r>
    <r>
      <rPr>
        <b/>
        <vertAlign val="subscript"/>
        <sz val="10"/>
        <rFont val="Arial Narrow"/>
        <family val="2"/>
      </rPr>
      <t>0</t>
    </r>
  </si>
  <si>
    <r>
      <t>ε</t>
    </r>
    <r>
      <rPr>
        <b/>
        <vertAlign val="subscript"/>
        <sz val="10"/>
        <rFont val="Arial Narrow"/>
        <family val="2"/>
      </rPr>
      <t>u</t>
    </r>
    <r>
      <rPr>
        <b/>
        <sz val="10"/>
        <rFont val="Arial Narrow"/>
        <family val="2"/>
      </rPr>
      <t>%</t>
    </r>
    <r>
      <rPr>
        <b/>
        <vertAlign val="subscript"/>
        <sz val="10"/>
        <rFont val="Arial Narrow"/>
        <family val="2"/>
      </rPr>
      <t>0</t>
    </r>
  </si>
  <si>
    <r>
      <t>E</t>
    </r>
    <r>
      <rPr>
        <b/>
        <vertAlign val="subscript"/>
        <sz val="10"/>
        <rFont val="Arial Narrow"/>
        <family val="2"/>
      </rPr>
      <t>a</t>
    </r>
    <r>
      <rPr>
        <b/>
        <sz val="10"/>
        <rFont val="Arial Narrow"/>
        <family val="2"/>
      </rPr>
      <t>[MPa]</t>
    </r>
  </si>
  <si>
    <r>
      <t>G</t>
    </r>
    <r>
      <rPr>
        <b/>
        <vertAlign val="subscript"/>
        <sz val="10"/>
        <rFont val="Arial Narrow"/>
        <family val="2"/>
      </rPr>
      <t>b</t>
    </r>
    <r>
      <rPr>
        <b/>
        <sz val="10"/>
        <rFont val="Arial Narrow"/>
        <family val="2"/>
      </rPr>
      <t>[GPa]=0.4*Eb</t>
    </r>
  </si>
  <si>
    <r>
      <t>ε</t>
    </r>
    <r>
      <rPr>
        <b/>
        <vertAlign val="subscript"/>
        <sz val="10"/>
        <rFont val="Arial Narrow"/>
        <family val="2"/>
      </rPr>
      <t>o</t>
    </r>
    <r>
      <rPr>
        <b/>
        <sz val="10"/>
        <rFont val="Arial Narrow"/>
        <family val="2"/>
      </rPr>
      <t>%</t>
    </r>
    <r>
      <rPr>
        <b/>
        <vertAlign val="subscript"/>
        <sz val="10"/>
        <rFont val="Arial Narrow"/>
        <family val="2"/>
      </rPr>
      <t>o</t>
    </r>
  </si>
  <si>
    <r>
      <t>ε</t>
    </r>
    <r>
      <rPr>
        <b/>
        <vertAlign val="subscript"/>
        <sz val="10"/>
        <rFont val="Arial Narrow"/>
        <family val="2"/>
      </rPr>
      <t>u</t>
    </r>
    <r>
      <rPr>
        <b/>
        <sz val="10"/>
        <rFont val="Arial Narrow"/>
        <family val="2"/>
      </rPr>
      <t>%</t>
    </r>
    <r>
      <rPr>
        <b/>
        <vertAlign val="subscript"/>
        <sz val="10"/>
        <rFont val="Arial Narrow"/>
        <family val="2"/>
      </rPr>
      <t>o</t>
    </r>
  </si>
  <si>
    <t>OŢEL-Armăturui</t>
  </si>
  <si>
    <t>Beton</t>
  </si>
  <si>
    <t>E (GPa)</t>
  </si>
  <si>
    <t>G (GPa)</t>
  </si>
  <si>
    <r>
      <t>f</t>
    </r>
    <r>
      <rPr>
        <b/>
        <vertAlign val="subscript"/>
        <sz val="11"/>
        <rFont val="Arial Narrow"/>
        <family val="2"/>
      </rPr>
      <t xml:space="preserve">tcd   </t>
    </r>
    <r>
      <rPr>
        <b/>
        <sz val="11"/>
        <rFont val="Arial Narrow"/>
        <family val="2"/>
      </rPr>
      <t>(MPa)</t>
    </r>
  </si>
  <si>
    <t>A. Caracteristici Materiale</t>
  </si>
  <si>
    <t>Bst500</t>
  </si>
  <si>
    <r>
      <t>ε</t>
    </r>
    <r>
      <rPr>
        <b/>
        <vertAlign val="subscript"/>
        <sz val="11"/>
        <rFont val="Arial Narrow"/>
        <family val="2"/>
      </rPr>
      <t>o</t>
    </r>
    <r>
      <rPr>
        <b/>
        <sz val="11"/>
        <rFont val="Arial Narrow"/>
        <family val="2"/>
      </rPr>
      <t xml:space="preserve"> </t>
    </r>
    <r>
      <rPr>
        <b/>
        <vertAlign val="subscript"/>
        <sz val="11"/>
        <rFont val="Arial Narrow"/>
        <family val="2"/>
      </rPr>
      <t>0/000</t>
    </r>
  </si>
  <si>
    <r>
      <t>ε</t>
    </r>
    <r>
      <rPr>
        <b/>
        <vertAlign val="subscript"/>
        <sz val="11"/>
        <rFont val="Arial Narrow"/>
        <family val="2"/>
      </rPr>
      <t>u</t>
    </r>
    <r>
      <rPr>
        <b/>
        <sz val="11"/>
        <rFont val="Arial Narrow"/>
        <family val="2"/>
      </rPr>
      <t xml:space="preserve"> </t>
    </r>
    <r>
      <rPr>
        <b/>
        <vertAlign val="subscript"/>
        <sz val="11"/>
        <rFont val="Arial Narrow"/>
        <family val="2"/>
      </rPr>
      <t>0/000</t>
    </r>
  </si>
  <si>
    <t>Secțiune grindă</t>
  </si>
  <si>
    <r>
      <t>b</t>
    </r>
    <r>
      <rPr>
        <vertAlign val="subscript"/>
        <sz val="11"/>
        <color theme="1"/>
        <rFont val="Arial Narrow"/>
        <family val="2"/>
      </rPr>
      <t>w</t>
    </r>
    <r>
      <rPr>
        <sz val="11"/>
        <color theme="1"/>
        <rFont val="Arial Narrow"/>
        <family val="2"/>
      </rPr>
      <t>(mm)</t>
    </r>
  </si>
  <si>
    <r>
      <t>h</t>
    </r>
    <r>
      <rPr>
        <vertAlign val="subscript"/>
        <sz val="11"/>
        <color theme="1"/>
        <rFont val="Arial Narrow"/>
        <family val="2"/>
      </rPr>
      <t xml:space="preserve">w </t>
    </r>
    <r>
      <rPr>
        <sz val="11"/>
        <color theme="1"/>
        <rFont val="Arial Narrow"/>
        <family val="2"/>
      </rPr>
      <t>(mm)</t>
    </r>
  </si>
  <si>
    <r>
      <t>b</t>
    </r>
    <r>
      <rPr>
        <vertAlign val="subscript"/>
        <sz val="11"/>
        <color theme="1"/>
        <rFont val="Arial Narrow"/>
        <family val="2"/>
      </rPr>
      <t>eff</t>
    </r>
    <r>
      <rPr>
        <sz val="11"/>
        <color theme="1"/>
        <rFont val="Arial Narrow"/>
        <family val="2"/>
      </rPr>
      <t>(mm)</t>
    </r>
  </si>
  <si>
    <t>Armare infirioară</t>
  </si>
  <si>
    <t>Rând</t>
  </si>
  <si>
    <r>
      <t>n</t>
    </r>
    <r>
      <rPr>
        <vertAlign val="subscript"/>
        <sz val="11"/>
        <color theme="1"/>
        <rFont val="Arial Narrow"/>
        <family val="2"/>
      </rPr>
      <t>1</t>
    </r>
  </si>
  <si>
    <r>
      <t>d</t>
    </r>
    <r>
      <rPr>
        <vertAlign val="subscript"/>
        <sz val="11"/>
        <color theme="1"/>
        <rFont val="Arial Narrow"/>
        <family val="2"/>
      </rPr>
      <t>1</t>
    </r>
    <r>
      <rPr>
        <sz val="11"/>
        <color theme="1"/>
        <rFont val="Arial Narrow"/>
        <family val="2"/>
      </rPr>
      <t>(mm)</t>
    </r>
  </si>
  <si>
    <t>c(mm)</t>
  </si>
  <si>
    <t>I</t>
  </si>
  <si>
    <t>II</t>
  </si>
  <si>
    <r>
      <t>d</t>
    </r>
    <r>
      <rPr>
        <vertAlign val="sub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(mm)</t>
    </r>
  </si>
  <si>
    <r>
      <t>n</t>
    </r>
    <r>
      <rPr>
        <vertAlign val="subscript"/>
        <sz val="11"/>
        <color theme="1"/>
        <rFont val="Arial Narrow"/>
        <family val="2"/>
      </rPr>
      <t>2</t>
    </r>
  </si>
  <si>
    <r>
      <t>d</t>
    </r>
    <r>
      <rPr>
        <vertAlign val="subscript"/>
        <sz val="11"/>
        <color theme="1"/>
        <rFont val="Arial Narrow"/>
        <family val="2"/>
      </rPr>
      <t>3</t>
    </r>
    <r>
      <rPr>
        <sz val="11"/>
        <color theme="1"/>
        <rFont val="Arial Narrow"/>
        <family val="2"/>
      </rPr>
      <t>mm)</t>
    </r>
  </si>
  <si>
    <r>
      <t>n</t>
    </r>
    <r>
      <rPr>
        <vertAlign val="subscript"/>
        <sz val="11"/>
        <color theme="1"/>
        <rFont val="Arial Narrow"/>
        <family val="2"/>
      </rPr>
      <t>3</t>
    </r>
  </si>
  <si>
    <r>
      <t>A</t>
    </r>
    <r>
      <rPr>
        <vertAlign val="subscript"/>
        <sz val="11"/>
        <color theme="1"/>
        <rFont val="Arial Narrow"/>
        <family val="2"/>
      </rPr>
      <t xml:space="preserve">s_R  </t>
    </r>
    <r>
      <rPr>
        <sz val="11"/>
        <color theme="1"/>
        <rFont val="Arial Narrow"/>
        <family val="2"/>
      </rPr>
      <t>(mm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</si>
  <si>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r>
      <t>A</t>
    </r>
    <r>
      <rPr>
        <vertAlign val="subscript"/>
        <sz val="11"/>
        <color theme="1"/>
        <rFont val="Arial Narrow"/>
        <family val="2"/>
      </rPr>
      <t xml:space="preserve">s1  </t>
    </r>
    <r>
      <rPr>
        <sz val="11"/>
        <color theme="1"/>
        <rFont val="Arial Narrow"/>
        <family val="2"/>
      </rPr>
      <t>(mm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</si>
  <si>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r>
      <t>a</t>
    </r>
    <r>
      <rPr>
        <vertAlign val="subscript"/>
        <sz val="11"/>
        <color theme="1"/>
        <rFont val="Arial Narrow"/>
        <family val="2"/>
      </rPr>
      <t>1</t>
    </r>
    <r>
      <rPr>
        <sz val="11"/>
        <color theme="1"/>
        <rFont val="Arial Narrow"/>
        <family val="2"/>
      </rPr>
      <t>(mm)</t>
    </r>
  </si>
  <si>
    <r>
      <t>A</t>
    </r>
    <r>
      <rPr>
        <vertAlign val="subscript"/>
        <sz val="11"/>
        <color theme="1"/>
        <rFont val="Arial Narrow"/>
        <family val="2"/>
      </rPr>
      <t>s1</t>
    </r>
  </si>
  <si>
    <r>
      <t>A</t>
    </r>
    <r>
      <rPr>
        <vertAlign val="subscript"/>
        <sz val="11"/>
        <color theme="1"/>
        <rFont val="Arial Narrow"/>
        <family val="2"/>
      </rPr>
      <t>si</t>
    </r>
  </si>
  <si>
    <r>
      <t>A</t>
    </r>
    <r>
      <rPr>
        <vertAlign val="subscript"/>
        <sz val="11"/>
        <color theme="1"/>
        <rFont val="Arial Narrow"/>
        <family val="2"/>
      </rPr>
      <t>s2</t>
    </r>
  </si>
  <si>
    <r>
      <t>d</t>
    </r>
    <r>
      <rPr>
        <vertAlign val="subscript"/>
        <sz val="11"/>
        <color theme="1"/>
        <rFont val="Arial Narrow"/>
        <family val="2"/>
      </rPr>
      <t>1i</t>
    </r>
    <r>
      <rPr>
        <sz val="11"/>
        <color theme="1"/>
        <rFont val="Arial Narrow"/>
        <family val="2"/>
      </rPr>
      <t>(mm)</t>
    </r>
  </si>
  <si>
    <t>Armare intermediară</t>
  </si>
  <si>
    <t>Armare superioară</t>
  </si>
  <si>
    <r>
      <t>d</t>
    </r>
    <r>
      <rPr>
        <vertAlign val="subscript"/>
        <sz val="11"/>
        <color theme="1"/>
        <rFont val="Arial Narrow"/>
        <family val="2"/>
      </rPr>
      <t>2i</t>
    </r>
    <r>
      <rPr>
        <sz val="11"/>
        <color theme="1"/>
        <rFont val="Arial Narrow"/>
        <family val="2"/>
      </rPr>
      <t>(mm)</t>
    </r>
  </si>
  <si>
    <r>
      <t>a</t>
    </r>
    <r>
      <rPr>
        <vertAlign val="sub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(mm)</t>
    </r>
  </si>
  <si>
    <r>
      <t>A</t>
    </r>
    <r>
      <rPr>
        <vertAlign val="subscript"/>
        <sz val="11"/>
        <color theme="1"/>
        <rFont val="Arial Narrow"/>
        <family val="2"/>
      </rPr>
      <t xml:space="preserve">s2  </t>
    </r>
    <r>
      <rPr>
        <sz val="11"/>
        <color theme="1"/>
        <rFont val="Arial Narrow"/>
        <family val="2"/>
      </rPr>
      <t>(mm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</si>
  <si>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t>Armare transversală</t>
  </si>
  <si>
    <r>
      <t>s</t>
    </r>
    <r>
      <rPr>
        <vertAlign val="subscript"/>
        <sz val="11"/>
        <color theme="1"/>
        <rFont val="Arial Narrow"/>
        <family val="2"/>
      </rPr>
      <t>1</t>
    </r>
    <r>
      <rPr>
        <sz val="11"/>
        <color theme="1"/>
        <rFont val="Arial Narrow"/>
        <family val="2"/>
      </rPr>
      <t>(mm)</t>
    </r>
  </si>
  <si>
    <r>
      <t>s</t>
    </r>
    <r>
      <rPr>
        <vertAlign val="sub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(mm)</t>
    </r>
  </si>
  <si>
    <r>
      <t>d</t>
    </r>
    <r>
      <rPr>
        <vertAlign val="subscript"/>
        <sz val="11"/>
        <color theme="1"/>
        <rFont val="Arial Narrow"/>
        <family val="2"/>
      </rPr>
      <t>3</t>
    </r>
    <r>
      <rPr>
        <sz val="11"/>
        <color theme="1"/>
        <rFont val="Arial Narrow"/>
        <family val="2"/>
      </rPr>
      <t>(mm)</t>
    </r>
  </si>
  <si>
    <r>
      <t>s</t>
    </r>
    <r>
      <rPr>
        <vertAlign val="subscript"/>
        <sz val="11"/>
        <color theme="1"/>
        <rFont val="Arial Narrow"/>
        <family val="2"/>
      </rPr>
      <t>3</t>
    </r>
    <r>
      <rPr>
        <sz val="11"/>
        <color theme="1"/>
        <rFont val="Arial Narrow"/>
        <family val="2"/>
      </rPr>
      <t>(mm)</t>
    </r>
  </si>
  <si>
    <r>
      <t>s</t>
    </r>
    <r>
      <rPr>
        <vertAlign val="subscript"/>
        <sz val="11"/>
        <color theme="1"/>
        <rFont val="Arial Narrow"/>
        <family val="2"/>
      </rPr>
      <t xml:space="preserve">h </t>
    </r>
    <r>
      <rPr>
        <sz val="11"/>
        <color theme="1"/>
        <rFont val="Arial Narrow"/>
        <family val="2"/>
      </rPr>
      <t>(mm</t>
    </r>
    <r>
      <rPr>
        <sz val="11"/>
        <color theme="1"/>
        <rFont val="Arial Narrow"/>
        <family val="2"/>
      </rPr>
      <t>)</t>
    </r>
  </si>
  <si>
    <r>
      <t>s</t>
    </r>
    <r>
      <rPr>
        <vertAlign val="subscript"/>
        <sz val="11"/>
        <color theme="1"/>
        <rFont val="Arial Narrow"/>
        <family val="2"/>
      </rPr>
      <t>h</t>
    </r>
  </si>
  <si>
    <r>
      <t>A</t>
    </r>
    <r>
      <rPr>
        <vertAlign val="subscript"/>
        <sz val="11"/>
        <color theme="1"/>
        <rFont val="Arial Narrow"/>
        <family val="2"/>
      </rPr>
      <t>sw</t>
    </r>
  </si>
  <si>
    <t>n</t>
  </si>
  <si>
    <t>-</t>
  </si>
  <si>
    <t>Eforturi de proiectare</t>
  </si>
  <si>
    <r>
      <t>θ</t>
    </r>
    <r>
      <rPr>
        <vertAlign val="subscript"/>
        <sz val="11"/>
        <color theme="1"/>
        <rFont val="Arial Narrow"/>
        <family val="2"/>
      </rPr>
      <t xml:space="preserve"> </t>
    </r>
    <r>
      <rPr>
        <sz val="11"/>
        <color theme="1"/>
        <rFont val="Arial Narrow"/>
        <family val="2"/>
      </rPr>
      <t>(deg)</t>
    </r>
  </si>
  <si>
    <t>M(kNm)</t>
  </si>
  <si>
    <t>V(kN)</t>
  </si>
  <si>
    <t>x(mm)</t>
  </si>
  <si>
    <t>N(kN)</t>
  </si>
  <si>
    <t>Solicitare</t>
  </si>
  <si>
    <t>distanța maximă dintre fisuri</t>
  </si>
  <si>
    <t>Coeficienți de calcul</t>
  </si>
  <si>
    <t>k1</t>
  </si>
  <si>
    <t>k2</t>
  </si>
  <si>
    <t>k3</t>
  </si>
  <si>
    <t>k4</t>
  </si>
  <si>
    <t xml:space="preserve"> coeficeint ce ține seamă de propretățile de aderența</t>
  </si>
  <si>
    <t>m</t>
  </si>
  <si>
    <t xml:space="preserve">coeficeint ce ține seamă de distribuția eforturilor </t>
  </si>
  <si>
    <t>constantă</t>
  </si>
  <si>
    <t>aria secțiunii efective de beton din jurul armăturilor întinse</t>
  </si>
  <si>
    <r>
      <t>A</t>
    </r>
    <r>
      <rPr>
        <vertAlign val="subscript"/>
        <sz val="11"/>
        <color theme="1"/>
        <rFont val="Arial Narrow"/>
        <family val="2"/>
      </rPr>
      <t>c,eff</t>
    </r>
    <r>
      <rPr>
        <sz val="11"/>
        <color theme="1"/>
        <rFont val="Arial Narrow"/>
        <family val="2"/>
      </rPr>
      <t>(mm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</si>
  <si>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r>
      <t>ρ</t>
    </r>
    <r>
      <rPr>
        <vertAlign val="subscript"/>
        <sz val="11"/>
        <color theme="1"/>
        <rFont val="Arial Narrow"/>
        <family val="2"/>
      </rPr>
      <t>p,eff</t>
    </r>
  </si>
  <si>
    <t>coeficientul de armare corespunzător ariei de  înglobare</t>
  </si>
  <si>
    <r>
      <t>s</t>
    </r>
    <r>
      <rPr>
        <vertAlign val="subscript"/>
        <sz val="11"/>
        <color theme="1"/>
        <rFont val="Arial Narrow"/>
        <family val="2"/>
      </rPr>
      <t>r,max</t>
    </r>
    <r>
      <rPr>
        <sz val="11"/>
        <color theme="1"/>
        <rFont val="Arial Narrow"/>
        <family val="2"/>
      </rPr>
      <t>(mm)</t>
    </r>
  </si>
  <si>
    <r>
      <t>s</t>
    </r>
    <r>
      <rPr>
        <vertAlign val="subscript"/>
        <sz val="11"/>
        <color theme="1"/>
        <rFont val="Arial Narrow"/>
        <family val="2"/>
      </rPr>
      <t>r,ef</t>
    </r>
    <r>
      <rPr>
        <sz val="11"/>
        <color theme="1"/>
        <rFont val="Arial Narrow"/>
        <family val="2"/>
      </rPr>
      <t>(mm)</t>
    </r>
  </si>
  <si>
    <t>distanța dintre fisuri considerată în calcul</t>
  </si>
  <si>
    <t xml:space="preserve">efortul în armăturile longitudinale întinse </t>
  </si>
  <si>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Arial Narrow"/>
        <family val="2"/>
      </rPr>
      <t>s</t>
    </r>
    <r>
      <rPr>
        <sz val="11"/>
        <color theme="1"/>
        <rFont val="Arial Narrow"/>
        <family val="2"/>
      </rPr>
      <t>(MPa)</t>
    </r>
  </si>
  <si>
    <t>Durata încărcării</t>
  </si>
  <si>
    <t>factor ce ține seama de durata încărcării</t>
  </si>
  <si>
    <r>
      <t>k</t>
    </r>
    <r>
      <rPr>
        <vertAlign val="subscript"/>
        <sz val="11"/>
        <color theme="1"/>
        <rFont val="Arial Narrow"/>
        <family val="2"/>
      </rPr>
      <t>t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</si>
  <si>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Arial Narrow"/>
        <family val="2"/>
      </rPr>
      <t>e</t>
    </r>
  </si>
  <si>
    <t>coeficient de echivalență</t>
  </si>
  <si>
    <r>
      <t>f</t>
    </r>
    <r>
      <rPr>
        <vertAlign val="subscript"/>
        <sz val="11"/>
        <color theme="1"/>
        <rFont val="Arial Narrow"/>
        <family val="2"/>
      </rPr>
      <t xml:space="preserve">ct,eff </t>
    </r>
    <r>
      <rPr>
        <sz val="11"/>
        <color theme="1"/>
        <rFont val="Arial Narrow"/>
        <family val="2"/>
      </rPr>
      <t>(MPa)</t>
    </r>
  </si>
  <si>
    <t>valoarea medie a rezistenței la întindere a betonului</t>
  </si>
  <si>
    <r>
      <t>d</t>
    </r>
    <r>
      <rPr>
        <vertAlign val="subscript"/>
        <sz val="11"/>
        <color theme="1"/>
        <rFont val="Arial Narrow"/>
        <family val="2"/>
      </rPr>
      <t xml:space="preserve">2  </t>
    </r>
    <r>
      <rPr>
        <sz val="11"/>
        <color theme="1"/>
        <rFont val="Arial Narrow"/>
        <family val="2"/>
      </rPr>
      <t>(mm)</t>
    </r>
  </si>
  <si>
    <r>
      <t>d</t>
    </r>
    <r>
      <rPr>
        <vertAlign val="subscript"/>
        <sz val="11"/>
        <color theme="1"/>
        <rFont val="Arial Narrow"/>
        <family val="2"/>
      </rPr>
      <t xml:space="preserve">1  </t>
    </r>
    <r>
      <rPr>
        <sz val="11"/>
        <color theme="1"/>
        <rFont val="Arial Narrow"/>
        <family val="2"/>
      </rPr>
      <t>(mm)</t>
    </r>
  </si>
  <si>
    <r>
      <t>d</t>
    </r>
    <r>
      <rPr>
        <vertAlign val="subscript"/>
        <sz val="11"/>
        <color theme="1"/>
        <rFont val="Arial Narrow"/>
        <family val="2"/>
      </rPr>
      <t xml:space="preserve">i </t>
    </r>
    <r>
      <rPr>
        <sz val="11"/>
        <color theme="1"/>
        <rFont val="Arial Narrow"/>
        <family val="2"/>
      </rPr>
      <t>(mm)</t>
    </r>
  </si>
  <si>
    <r>
      <t>A</t>
    </r>
    <r>
      <rPr>
        <vertAlign val="subscript"/>
        <sz val="11"/>
        <color theme="1"/>
        <rFont val="Arial Narrow"/>
        <family val="2"/>
      </rPr>
      <t xml:space="preserve">si  </t>
    </r>
    <r>
      <rPr>
        <sz val="11"/>
        <color theme="1"/>
        <rFont val="Arial Narrow"/>
        <family val="2"/>
      </rPr>
      <t>(mm</t>
    </r>
    <r>
      <rPr>
        <vertAlign val="superscript"/>
        <sz val="11"/>
        <color theme="1"/>
        <rFont val="Arial Narrow"/>
        <family val="2"/>
      </rPr>
      <t>2</t>
    </r>
    <r>
      <rPr>
        <sz val="11"/>
        <color theme="1"/>
        <rFont val="Arial Narrow"/>
        <family val="2"/>
      </rPr>
      <t>)</t>
    </r>
  </si>
  <si>
    <r>
      <t>a</t>
    </r>
    <r>
      <rPr>
        <vertAlign val="subscript"/>
        <sz val="11"/>
        <color theme="1"/>
        <rFont val="Arial Narrow"/>
        <family val="2"/>
      </rPr>
      <t>i</t>
    </r>
    <r>
      <rPr>
        <sz val="11"/>
        <color theme="1"/>
        <rFont val="Arial Narrow"/>
        <family val="2"/>
      </rPr>
      <t>(mm)</t>
    </r>
  </si>
  <si>
    <r>
      <t>d</t>
    </r>
    <r>
      <rPr>
        <vertAlign val="subscript"/>
        <sz val="11"/>
        <color theme="1"/>
        <rFont val="Arial Narrow"/>
        <family val="2"/>
      </rPr>
      <t>ii</t>
    </r>
    <r>
      <rPr>
        <sz val="11"/>
        <color theme="1"/>
        <rFont val="Arial Narrow"/>
        <family val="2"/>
      </rPr>
      <t>(mm)</t>
    </r>
  </si>
  <si>
    <r>
      <t>w</t>
    </r>
    <r>
      <rPr>
        <vertAlign val="subscript"/>
        <sz val="11"/>
        <color theme="1"/>
        <rFont val="Arial Narrow"/>
        <family val="2"/>
      </rPr>
      <t>k,1</t>
    </r>
    <r>
      <rPr>
        <sz val="11"/>
        <color theme="1"/>
        <rFont val="Arial Narrow"/>
        <family val="2"/>
      </rPr>
      <t>(mm)</t>
    </r>
  </si>
  <si>
    <r>
      <t>w</t>
    </r>
    <r>
      <rPr>
        <vertAlign val="subscript"/>
        <sz val="11"/>
        <color theme="1"/>
        <rFont val="Arial Narrow"/>
        <family val="2"/>
      </rPr>
      <t>k,2</t>
    </r>
    <r>
      <rPr>
        <sz val="11"/>
        <color theme="1"/>
        <rFont val="Arial Narrow"/>
        <family val="2"/>
      </rPr>
      <t>(mm)</t>
    </r>
  </si>
  <si>
    <t>Distanța maximă dintre fisurile normale</t>
  </si>
  <si>
    <r>
      <t>w</t>
    </r>
    <r>
      <rPr>
        <vertAlign val="subscript"/>
        <sz val="11"/>
        <color theme="1"/>
        <rFont val="Arial Narrow"/>
        <family val="2"/>
      </rPr>
      <t>max</t>
    </r>
    <r>
      <rPr>
        <sz val="11"/>
        <color theme="1"/>
        <rFont val="Arial Narrow"/>
        <family val="2"/>
      </rPr>
      <t xml:space="preserve"> (mm)</t>
    </r>
  </si>
  <si>
    <t>Distanța maximă dintre fisurile înclinate</t>
  </si>
  <si>
    <r>
      <t>Φ</t>
    </r>
    <r>
      <rPr>
        <vertAlign val="subscript"/>
        <sz val="11"/>
        <color theme="1"/>
        <rFont val="Arial Narrow"/>
        <family val="2"/>
      </rPr>
      <t xml:space="preserve">hs </t>
    </r>
    <r>
      <rPr>
        <sz val="11"/>
        <color theme="1"/>
        <rFont val="Arial Narrow"/>
        <family val="2"/>
      </rPr>
      <t>(mm)</t>
    </r>
  </si>
  <si>
    <r>
      <t>c</t>
    </r>
    <r>
      <rPr>
        <vertAlign val="subscript"/>
        <sz val="11"/>
        <color theme="1"/>
        <rFont val="Arial Narrow"/>
        <family val="2"/>
      </rPr>
      <t>sh</t>
    </r>
    <r>
      <rPr>
        <sz val="11"/>
        <color theme="1"/>
        <rFont val="Arial Narrow"/>
        <family val="2"/>
      </rPr>
      <t xml:space="preserve"> (mm)</t>
    </r>
  </si>
  <si>
    <r>
      <rPr>
        <sz val="11"/>
        <color theme="1"/>
        <rFont val="Calibri"/>
        <family val="2"/>
      </rPr>
      <t>σ</t>
    </r>
    <r>
      <rPr>
        <vertAlign val="subscript"/>
        <sz val="11"/>
        <color theme="1"/>
        <rFont val="Arial Narrow"/>
        <family val="2"/>
      </rPr>
      <t>sw</t>
    </r>
    <r>
      <rPr>
        <sz val="11"/>
        <color theme="1"/>
        <rFont val="Arial Narrow"/>
        <family val="2"/>
      </rPr>
      <t>(MPa)</t>
    </r>
  </si>
  <si>
    <t xml:space="preserve">efortul în armăturile transversale întinse </t>
  </si>
  <si>
    <t>Distanța maximă dintre fisuri (M+V)</t>
  </si>
  <si>
    <r>
      <t>s</t>
    </r>
    <r>
      <rPr>
        <vertAlign val="subscript"/>
        <sz val="11"/>
        <color theme="1"/>
        <rFont val="Arial Narrow"/>
        <family val="2"/>
      </rPr>
      <t>r,d</t>
    </r>
    <r>
      <rPr>
        <sz val="11"/>
        <color theme="1"/>
        <rFont val="Arial Narrow"/>
        <family val="2"/>
      </rPr>
      <t>(mm)</t>
    </r>
  </si>
  <si>
    <t>Valoarea medie a deschiderii fisurii (M+V)</t>
  </si>
  <si>
    <t>coeficeint ce ține seamă de distribuția eforturilor  și aderență</t>
  </si>
  <si>
    <t>scură durată</t>
  </si>
  <si>
    <t>Valoarea medie a deschiderii fisurii înclinate (V)</t>
  </si>
  <si>
    <t>Valoarea medie a deschiderii fisurii normale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</si>
</sst>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00"/>
    <numFmt numFmtId="166" formatCode="0.0"/>
    <numFmt numFmtId="167" formatCode="0.0000"/>
  </numFmts>
  <fonts count="22" x14ac:knownFonts="1">
    <font>
      <sz val="11"/>
      <color theme="1"/>
      <name val="Swis721 LtCn BT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11"/>
      <color theme="1"/>
      <name val="Arial Narrow"/>
      <family val="2"/>
    </font>
    <font>
      <b/>
      <i/>
      <sz val="11"/>
      <name val="Arial Narrow"/>
      <family val="2"/>
    </font>
    <font>
      <b/>
      <sz val="11"/>
      <name val="Arial Narrow"/>
      <family val="2"/>
    </font>
    <font>
      <b/>
      <vertAlign val="subscript"/>
      <sz val="11"/>
      <name val="Arial Narrow"/>
      <family val="2"/>
    </font>
    <font>
      <b/>
      <sz val="11"/>
      <color rgb="FFFF0000"/>
      <name val="Arial Narrow"/>
      <family val="2"/>
    </font>
    <font>
      <b/>
      <i/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i/>
      <sz val="12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vertAlign val="subscript"/>
      <sz val="10"/>
      <name val="Arial Narrow"/>
      <family val="2"/>
    </font>
    <font>
      <b/>
      <sz val="12"/>
      <name val="Arial Narrow"/>
      <family val="2"/>
    </font>
    <font>
      <vertAlign val="subscript"/>
      <sz val="11"/>
      <color theme="1"/>
      <name val="Arial Narrow"/>
      <family val="2"/>
    </font>
    <font>
      <vertAlign val="superscript"/>
      <sz val="11"/>
      <color theme="1"/>
      <name val="Arial Narrow"/>
      <family val="2"/>
    </font>
    <font>
      <sz val="11"/>
      <color rgb="FF000000"/>
      <name val="Arial Narrow"/>
      <family val="2"/>
    </font>
    <font>
      <sz val="9"/>
      <color indexed="81"/>
      <name val="Tahoma"/>
      <family val="2"/>
    </font>
    <font>
      <b/>
      <i/>
      <sz val="12"/>
      <color rgb="FFFF0000"/>
      <name val="Arial Narrow"/>
      <family val="2"/>
    </font>
    <font>
      <b/>
      <i/>
      <sz val="14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25" xfId="0" applyNumberFormat="1" applyFont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166" fontId="5" fillId="0" borderId="15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3" borderId="1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3" borderId="32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13" fillId="0" borderId="3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1" fontId="3" fillId="0" borderId="13" xfId="0" quotePrefix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" fontId="3" fillId="0" borderId="15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center" vertical="center"/>
    </xf>
    <xf numFmtId="3" fontId="3" fillId="0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" fontId="3" fillId="0" borderId="17" xfId="0" quotePrefix="1" applyNumberFormat="1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5" xfId="0" applyNumberFormat="1" applyFont="1" applyBorder="1" applyAlignment="1">
      <alignment horizontal="center" vertical="center"/>
    </xf>
    <xf numFmtId="166" fontId="3" fillId="0" borderId="4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/>
    </xf>
    <xf numFmtId="1" fontId="3" fillId="0" borderId="5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" fontId="3" fillId="0" borderId="14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8" fillId="3" borderId="41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66" fontId="3" fillId="0" borderId="4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1" fontId="3" fillId="0" borderId="40" xfId="0" applyNumberFormat="1" applyFont="1" applyBorder="1" applyAlignment="1">
      <alignment horizontal="center" vertical="center"/>
    </xf>
    <xf numFmtId="166" fontId="9" fillId="0" borderId="40" xfId="0" applyNumberFormat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66" fontId="20" fillId="7" borderId="5" xfId="0" applyNumberFormat="1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20" fillId="7" borderId="10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167" fontId="3" fillId="0" borderId="5" xfId="0" applyNumberFormat="1" applyFont="1" applyBorder="1" applyAlignment="1">
      <alignment horizontal="center" vertical="center"/>
    </xf>
    <xf numFmtId="166" fontId="20" fillId="7" borderId="36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20" xfId="0" applyFont="1" applyBorder="1" applyAlignment="1">
      <alignment horizontal="center"/>
    </xf>
    <xf numFmtId="0" fontId="9" fillId="3" borderId="36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6" fontId="9" fillId="0" borderId="50" xfId="0" applyNumberFormat="1" applyFont="1" applyBorder="1" applyAlignment="1">
      <alignment horizontal="center" vertical="center"/>
    </xf>
    <xf numFmtId="166" fontId="9" fillId="0" borderId="40" xfId="0" applyNumberFormat="1" applyFont="1" applyBorder="1" applyAlignment="1">
      <alignment horizontal="center" vertical="center"/>
    </xf>
    <xf numFmtId="1" fontId="8" fillId="0" borderId="49" xfId="0" applyNumberFormat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/>
    </xf>
    <xf numFmtId="1" fontId="8" fillId="3" borderId="15" xfId="0" applyNumberFormat="1" applyFont="1" applyFill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vertical="center"/>
    </xf>
    <xf numFmtId="1" fontId="8" fillId="0" borderId="15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30" xfId="0" applyNumberFormat="1" applyFont="1" applyFill="1" applyBorder="1" applyAlignment="1">
      <alignment horizontal="center" vertical="center" wrapText="1"/>
    </xf>
    <xf numFmtId="0" fontId="4" fillId="9" borderId="18" xfId="0" applyNumberFormat="1" applyFont="1" applyFill="1" applyBorder="1" applyAlignment="1">
      <alignment horizontal="center" vertical="center" wrapText="1"/>
    </xf>
    <xf numFmtId="0" fontId="4" fillId="9" borderId="19" xfId="0" applyNumberFormat="1" applyFont="1" applyFill="1" applyBorder="1" applyAlignment="1">
      <alignment horizontal="center" vertical="center" wrapText="1"/>
    </xf>
    <xf numFmtId="0" fontId="4" fillId="9" borderId="20" xfId="0" applyNumberFormat="1" applyFont="1" applyFill="1" applyBorder="1" applyAlignment="1">
      <alignment horizontal="center" vertical="center" wrapText="1"/>
    </xf>
    <xf numFmtId="0" fontId="4" fillId="10" borderId="29" xfId="0" applyNumberFormat="1" applyFont="1" applyFill="1" applyBorder="1" applyAlignment="1">
      <alignment horizontal="center" vertical="center" wrapText="1"/>
    </xf>
    <xf numFmtId="0" fontId="4" fillId="10" borderId="16" xfId="0" applyNumberFormat="1" applyFont="1" applyFill="1" applyBorder="1" applyAlignment="1">
      <alignment horizontal="center" vertical="center" wrapText="1"/>
    </xf>
    <xf numFmtId="0" fontId="4" fillId="10" borderId="19" xfId="0" applyNumberFormat="1" applyFont="1" applyFill="1" applyBorder="1" applyAlignment="1">
      <alignment horizontal="center" vertical="center" wrapText="1"/>
    </xf>
    <xf numFmtId="0" fontId="4" fillId="10" borderId="20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6" borderId="18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3" fillId="6" borderId="43" xfId="0" applyFont="1" applyFill="1" applyBorder="1" applyAlignment="1">
      <alignment horizontal="center" vertical="center"/>
    </xf>
    <xf numFmtId="0" fontId="3" fillId="6" borderId="44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textRotation="90"/>
    </xf>
    <xf numFmtId="0" fontId="3" fillId="0" borderId="43" xfId="0" applyFont="1" applyBorder="1" applyAlignment="1">
      <alignment horizontal="center" vertical="center" textRotation="90"/>
    </xf>
    <xf numFmtId="0" fontId="3" fillId="0" borderId="44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5" fontId="21" fillId="8" borderId="4" xfId="0" applyNumberFormat="1" applyFont="1" applyFill="1" applyBorder="1" applyAlignment="1">
      <alignment horizontal="center" vertical="center"/>
    </xf>
    <xf numFmtId="165" fontId="21" fillId="8" borderId="33" xfId="0" applyNumberFormat="1" applyFont="1" applyFill="1" applyBorder="1" applyAlignment="1">
      <alignment horizontal="center" vertical="center"/>
    </xf>
    <xf numFmtId="165" fontId="21" fillId="8" borderId="15" xfId="0" applyNumberFormat="1" applyFont="1" applyFill="1" applyBorder="1" applyAlignment="1">
      <alignment horizontal="center" vertical="center"/>
    </xf>
    <xf numFmtId="165" fontId="21" fillId="8" borderId="17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165" fontId="21" fillId="8" borderId="10" xfId="0" applyNumberFormat="1" applyFont="1" applyFill="1" applyBorder="1" applyAlignment="1">
      <alignment horizontal="center" vertical="center"/>
    </xf>
    <xf numFmtId="0" fontId="18" fillId="0" borderId="29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5" fillId="4" borderId="20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strike/>
      </font>
      <fill>
        <patternFill>
          <bgColor rgb="FFC00000"/>
        </patternFill>
      </fill>
    </dxf>
    <dxf>
      <font>
        <strike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6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11</xdr:row>
      <xdr:rowOff>0</xdr:rowOff>
    </xdr:from>
    <xdr:to>
      <xdr:col>7</xdr:col>
      <xdr:colOff>66675</xdr:colOff>
      <xdr:row>17</xdr:row>
      <xdr:rowOff>0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V="1">
          <a:off x="3467100" y="3371850"/>
          <a:ext cx="0" cy="1371600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781050</xdr:colOff>
      <xdr:row>10</xdr:row>
      <xdr:rowOff>57150</xdr:rowOff>
    </xdr:from>
    <xdr:to>
      <xdr:col>6</xdr:col>
      <xdr:colOff>542925</xdr:colOff>
      <xdr:row>10</xdr:row>
      <xdr:rowOff>57151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V="1">
          <a:off x="3524250" y="3105150"/>
          <a:ext cx="1685925" cy="1"/>
        </a:xfrm>
        <a:prstGeom prst="straightConnector1">
          <a:avLst/>
        </a:prstGeom>
        <a:ln>
          <a:headEnd type="arrow"/>
          <a:tailEnd type="arrow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133350</xdr:colOff>
      <xdr:row>16</xdr:row>
      <xdr:rowOff>66675</xdr:rowOff>
    </xdr:from>
    <xdr:to>
      <xdr:col>5</xdr:col>
      <xdr:colOff>323850</xdr:colOff>
      <xdr:row>16</xdr:row>
      <xdr:rowOff>123825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571750" y="4533900"/>
          <a:ext cx="190500" cy="5715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133350</xdr:colOff>
      <xdr:row>11</xdr:row>
      <xdr:rowOff>57150</xdr:rowOff>
    </xdr:from>
    <xdr:to>
      <xdr:col>5</xdr:col>
      <xdr:colOff>323850</xdr:colOff>
      <xdr:row>11</xdr:row>
      <xdr:rowOff>114300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2571750" y="3429000"/>
          <a:ext cx="190500" cy="5715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180975</xdr:colOff>
      <xdr:row>14</xdr:row>
      <xdr:rowOff>9525</xdr:rowOff>
    </xdr:from>
    <xdr:to>
      <xdr:col>5</xdr:col>
      <xdr:colOff>247650</xdr:colOff>
      <xdr:row>14</xdr:row>
      <xdr:rowOff>76200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3028950" y="4086225"/>
          <a:ext cx="66675" cy="6667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323851</xdr:colOff>
      <xdr:row>10</xdr:row>
      <xdr:rowOff>171449</xdr:rowOff>
    </xdr:from>
    <xdr:to>
      <xdr:col>7</xdr:col>
      <xdr:colOff>19051</xdr:colOff>
      <xdr:row>11</xdr:row>
      <xdr:rowOff>85724</xdr:rowOff>
    </xdr:to>
    <xdr:cxnSp macro="">
      <xdr:nvCxnSpPr>
        <xdr:cNvPr id="21" name="Curved Connector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>
          <a:endCxn id="16" idx="3"/>
        </xdr:cNvCxnSpPr>
      </xdr:nvCxnSpPr>
      <xdr:spPr>
        <a:xfrm rot="10800000" flipV="1">
          <a:off x="3171826" y="3200399"/>
          <a:ext cx="657225" cy="238125"/>
        </a:xfrm>
        <a:prstGeom prst="curvedConnector3">
          <a:avLst>
            <a:gd name="adj1" fmla="val 51449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400050</xdr:colOff>
      <xdr:row>16</xdr:row>
      <xdr:rowOff>0</xdr:rowOff>
    </xdr:from>
    <xdr:to>
      <xdr:col>5</xdr:col>
      <xdr:colOff>323850</xdr:colOff>
      <xdr:row>16</xdr:row>
      <xdr:rowOff>95250</xdr:rowOff>
    </xdr:to>
    <xdr:cxnSp macro="">
      <xdr:nvCxnSpPr>
        <xdr:cNvPr id="28" name="Curved Connector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>
          <a:endCxn id="15" idx="3"/>
        </xdr:cNvCxnSpPr>
      </xdr:nvCxnSpPr>
      <xdr:spPr>
        <a:xfrm>
          <a:off x="2686050" y="4533900"/>
          <a:ext cx="485775" cy="95250"/>
        </a:xfrm>
        <a:prstGeom prst="curvedConnector3">
          <a:avLst>
            <a:gd name="adj1" fmla="val 147059"/>
          </a:avLst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638175</xdr:colOff>
      <xdr:row>48</xdr:row>
      <xdr:rowOff>9525</xdr:rowOff>
    </xdr:from>
    <xdr:to>
      <xdr:col>6</xdr:col>
      <xdr:colOff>276225</xdr:colOff>
      <xdr:row>52</xdr:row>
      <xdr:rowOff>57296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8175" y="12506325"/>
          <a:ext cx="2943225" cy="885971"/>
        </a:xfrm>
        <a:prstGeom prst="rect">
          <a:avLst/>
        </a:prstGeom>
      </xdr:spPr>
    </xdr:pic>
    <xdr:clientData/>
  </xdr:twoCellAnchor>
  <xdr:twoCellAnchor editAs="oneCell">
    <xdr:from>
      <xdr:col>0</xdr:col>
      <xdr:colOff>523876</xdr:colOff>
      <xdr:row>42</xdr:row>
      <xdr:rowOff>76200</xdr:rowOff>
    </xdr:from>
    <xdr:to>
      <xdr:col>7</xdr:col>
      <xdr:colOff>285751</xdr:colOff>
      <xdr:row>47</xdr:row>
      <xdr:rowOff>188506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6" y="11315700"/>
          <a:ext cx="3543300" cy="1160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6"/>
  <sheetViews>
    <sheetView tabSelected="1" topLeftCell="A55" zoomScaleNormal="100" workbookViewId="0">
      <selection activeCell="N91" sqref="N91"/>
    </sheetView>
  </sheetViews>
  <sheetFormatPr defaultRowHeight="16.5" x14ac:dyDescent="0.25"/>
  <cols>
    <col min="1" max="1" width="9.7109375" style="15" customWidth="1"/>
    <col min="2" max="2" width="8" style="15" customWidth="1"/>
    <col min="3" max="3" width="6.85546875" style="15" customWidth="1"/>
    <col min="4" max="4" width="9.28515625" style="15" customWidth="1"/>
    <col min="5" max="5" width="8.42578125" style="15" customWidth="1"/>
    <col min="6" max="6" width="7.28515625" style="15" customWidth="1"/>
    <col min="7" max="7" width="7.140625" style="15" customWidth="1"/>
    <col min="8" max="8" width="6.5703125" style="15" customWidth="1"/>
    <col min="9" max="9" width="7.140625" style="15" bestFit="1" customWidth="1"/>
    <col min="10" max="10" width="7.28515625" style="15" bestFit="1" customWidth="1"/>
    <col min="11" max="11" width="7.28515625" style="15" customWidth="1"/>
    <col min="12" max="12" width="6.5703125" style="15" customWidth="1"/>
    <col min="13" max="13" width="6.7109375" style="15" customWidth="1"/>
    <col min="14" max="14" width="6.5703125" style="15" bestFit="1" customWidth="1"/>
    <col min="15" max="15" width="7.5703125" style="15" customWidth="1"/>
    <col min="16" max="16" width="8.5703125" style="15" bestFit="1" customWidth="1"/>
    <col min="17" max="17" width="9.140625" style="15"/>
    <col min="18" max="18" width="5.28515625" style="15" customWidth="1"/>
    <col min="19" max="19" width="4.5703125" style="15" customWidth="1"/>
    <col min="20" max="20" width="12.7109375" style="15" customWidth="1"/>
    <col min="21" max="22" width="9.140625" style="15"/>
    <col min="23" max="23" width="12" style="15" customWidth="1"/>
    <col min="24" max="25" width="9.140625" style="15"/>
    <col min="26" max="26" width="13.28515625" style="15" customWidth="1"/>
    <col min="27" max="28" width="9.140625" style="15"/>
    <col min="29" max="29" width="10.28515625" style="15" customWidth="1"/>
    <col min="30" max="30" width="4.42578125" style="15" bestFit="1" customWidth="1"/>
    <col min="31" max="16384" width="9.140625" style="15"/>
  </cols>
  <sheetData>
    <row r="1" spans="1:12" ht="15.75" customHeight="1" thickBot="1" x14ac:dyDescent="0.3">
      <c r="A1" s="158" t="s">
        <v>59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60"/>
    </row>
    <row r="2" spans="1:12" ht="34.5" x14ac:dyDescent="0.25">
      <c r="A2" s="1" t="s">
        <v>28</v>
      </c>
      <c r="B2" s="2" t="s">
        <v>14</v>
      </c>
      <c r="C2" s="2" t="s">
        <v>58</v>
      </c>
      <c r="D2" s="2" t="s">
        <v>15</v>
      </c>
      <c r="E2" s="2" t="s">
        <v>16</v>
      </c>
      <c r="F2" s="2" t="s">
        <v>17</v>
      </c>
      <c r="G2" s="2" t="s">
        <v>30</v>
      </c>
      <c r="H2" s="2" t="s">
        <v>18</v>
      </c>
      <c r="I2" s="2" t="s">
        <v>62</v>
      </c>
      <c r="J2" s="2" t="s">
        <v>56</v>
      </c>
      <c r="K2" s="3" t="s">
        <v>57</v>
      </c>
      <c r="L2" s="4" t="s">
        <v>19</v>
      </c>
    </row>
    <row r="3" spans="1:12" ht="17.25" thickBot="1" x14ac:dyDescent="0.3">
      <c r="A3" s="16" t="s">
        <v>4</v>
      </c>
      <c r="B3" s="5">
        <f>fck/1.5</f>
        <v>16.666666666666668</v>
      </c>
      <c r="C3" s="5">
        <f>G3/1.5</f>
        <v>1.2</v>
      </c>
      <c r="D3" s="6">
        <f>INDEX(Beton_fcm,MATCH($A$3,Beton,0),1)</f>
        <v>33</v>
      </c>
      <c r="E3" s="5">
        <f>INDEX(Beton_fctm,MATCH($A$3,Beton,0),1)</f>
        <v>2.6</v>
      </c>
      <c r="F3" s="7">
        <f>INDEX(Beton_fck,MATCH($A$3,Beton,0),1)</f>
        <v>25</v>
      </c>
      <c r="G3" s="7">
        <f>INDEX(Beton_fctk,MATCH($A$3,Beton,0),1)</f>
        <v>1.8</v>
      </c>
      <c r="H3" s="7">
        <f>INDEX(Beton_ε2,MATCH($A$3,Beton,0),1)</f>
        <v>2</v>
      </c>
      <c r="I3" s="7">
        <f>INDEX(Beton_εu,MATCH($A$3,Beton,0),1)</f>
        <v>3.5</v>
      </c>
      <c r="J3" s="7">
        <f>INDEX(Beton_Ecm,MATCH($A$3,Beton,0),1)</f>
        <v>31</v>
      </c>
      <c r="K3" s="8">
        <f>0.4*J3</f>
        <v>12.4</v>
      </c>
      <c r="L3" s="9">
        <f>0.6*(1-fck/250)*fcd</f>
        <v>9.0000000000000018</v>
      </c>
    </row>
    <row r="4" spans="1:12" ht="17.25" customHeight="1" thickBot="1" x14ac:dyDescent="0.3">
      <c r="A4" s="161" t="s">
        <v>26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3"/>
    </row>
    <row r="5" spans="1:12" ht="34.5" x14ac:dyDescent="0.25">
      <c r="A5" s="1" t="s">
        <v>29</v>
      </c>
      <c r="B5" s="2" t="s">
        <v>20</v>
      </c>
      <c r="C5" s="2" t="s">
        <v>21</v>
      </c>
      <c r="D5" s="2" t="s">
        <v>22</v>
      </c>
      <c r="E5" s="2" t="s">
        <v>61</v>
      </c>
      <c r="F5" s="2" t="s">
        <v>62</v>
      </c>
      <c r="G5" s="2" t="s">
        <v>13</v>
      </c>
      <c r="H5" s="3" t="s">
        <v>23</v>
      </c>
      <c r="I5" s="127"/>
      <c r="J5" s="128"/>
      <c r="K5" s="128"/>
      <c r="L5" s="129"/>
    </row>
    <row r="6" spans="1:12" ht="17.25" thickBot="1" x14ac:dyDescent="0.3">
      <c r="A6" s="21" t="s">
        <v>60</v>
      </c>
      <c r="B6" s="22">
        <f>fyk/1.15</f>
        <v>434.78260869565219</v>
      </c>
      <c r="C6" s="23">
        <f>INDEX(Otel_fyk,MATCH($A$6,Otel,0),1)</f>
        <v>500</v>
      </c>
      <c r="D6" s="5">
        <f>INDEX(Otel_εo,MATCH($A$6,Otel,0),1)</f>
        <v>2.6190476190476191</v>
      </c>
      <c r="E6" s="24">
        <f>INDEX('Date de intrare si calcul'!$F$21:$F$24,MATCH(A6,'Date de intrare si calcul'!$A$21:$A$24,0),1)</f>
        <v>2.6190476190476191</v>
      </c>
      <c r="F6" s="23">
        <f>INDEX(Otel_εu,MATCH($A$6,Otel,0),1)</f>
        <v>75</v>
      </c>
      <c r="G6" s="23">
        <f>INDEX(Otel_Es,MATCH($A$6,Otel,0),1)</f>
        <v>210000</v>
      </c>
      <c r="H6" s="25">
        <v>1.35</v>
      </c>
      <c r="I6" s="168"/>
      <c r="J6" s="169"/>
      <c r="K6" s="169"/>
      <c r="L6" s="170"/>
    </row>
    <row r="7" spans="1:12" ht="17.25" customHeight="1" thickBot="1" x14ac:dyDescent="0.3">
      <c r="A7" s="164" t="s">
        <v>27</v>
      </c>
      <c r="B7" s="165"/>
      <c r="C7" s="165"/>
      <c r="D7" s="165"/>
      <c r="E7" s="165"/>
      <c r="F7" s="165"/>
      <c r="G7" s="165"/>
      <c r="H7" s="165"/>
      <c r="I7" s="166"/>
      <c r="J7" s="166"/>
      <c r="K7" s="166"/>
      <c r="L7" s="167"/>
    </row>
    <row r="8" spans="1:12" ht="33" customHeight="1" x14ac:dyDescent="0.25">
      <c r="A8" s="1" t="s">
        <v>29</v>
      </c>
      <c r="B8" s="2" t="s">
        <v>20</v>
      </c>
      <c r="C8" s="2" t="s">
        <v>21</v>
      </c>
      <c r="D8" s="2" t="s">
        <v>22</v>
      </c>
      <c r="E8" s="2" t="s">
        <v>24</v>
      </c>
      <c r="F8" s="2" t="s">
        <v>25</v>
      </c>
      <c r="G8" s="2" t="s">
        <v>13</v>
      </c>
      <c r="H8" s="10" t="s">
        <v>23</v>
      </c>
      <c r="I8" s="128"/>
      <c r="J8" s="128"/>
      <c r="K8" s="128"/>
      <c r="L8" s="129"/>
    </row>
    <row r="9" spans="1:12" ht="17.25" thickBot="1" x14ac:dyDescent="0.3">
      <c r="A9" s="16" t="s">
        <v>60</v>
      </c>
      <c r="B9" s="11">
        <f>fywk/1.15</f>
        <v>434.78260869565219</v>
      </c>
      <c r="C9" s="7">
        <f>INDEX(Otel_fyk,MATCH($A$9,Otel,0),1)</f>
        <v>500</v>
      </c>
      <c r="D9" s="5">
        <f>INDEX(Otel_εo,MATCH($A$9,Otel,0),1)</f>
        <v>2.6190476190476191</v>
      </c>
      <c r="E9" s="5">
        <f>INDEX('Date de intrare si calcul'!$F$21:$F$24,MATCH(A9,'Date de intrare si calcul'!$A$21:$A$24,0),1)</f>
        <v>2.6190476190476191</v>
      </c>
      <c r="F9" s="7">
        <f>INDEX(Otel_εu,MATCH($A$9,Otel,0),1)</f>
        <v>75</v>
      </c>
      <c r="G9" s="7">
        <f>INDEX(Otel_Es,MATCH($A$9,Otel,0),1)</f>
        <v>210000</v>
      </c>
      <c r="H9" s="12">
        <v>1.35</v>
      </c>
      <c r="I9" s="169"/>
      <c r="J9" s="169"/>
      <c r="K9" s="169"/>
      <c r="L9" s="170"/>
    </row>
    <row r="10" spans="1:12" ht="17.25" thickBot="1" x14ac:dyDescent="0.3"/>
    <row r="11" spans="1:12" ht="25.5" customHeight="1" thickBot="1" x14ac:dyDescent="0.3">
      <c r="E11" s="155">
        <f>C14</f>
        <v>750</v>
      </c>
      <c r="F11" s="156"/>
      <c r="G11" s="157"/>
      <c r="H11" s="75">
        <f>$M$22</f>
        <v>1443.5618243245099</v>
      </c>
      <c r="I11" s="69" t="s">
        <v>83</v>
      </c>
    </row>
    <row r="12" spans="1:12" ht="17.25" thickBot="1" x14ac:dyDescent="0.3">
      <c r="A12" s="171" t="s">
        <v>63</v>
      </c>
      <c r="B12" s="130"/>
      <c r="C12" s="131"/>
      <c r="E12" s="172"/>
      <c r="F12" s="173"/>
      <c r="G12" s="173"/>
      <c r="H12" s="176">
        <f>B14</f>
        <v>650</v>
      </c>
    </row>
    <row r="13" spans="1:12" ht="22.5" customHeight="1" thickBot="1" x14ac:dyDescent="0.3">
      <c r="A13" s="58" t="s">
        <v>64</v>
      </c>
      <c r="B13" s="19" t="s">
        <v>65</v>
      </c>
      <c r="C13" s="59" t="s">
        <v>66</v>
      </c>
      <c r="E13" s="65">
        <f>0.5*(C14-A14)</f>
        <v>200</v>
      </c>
      <c r="F13" s="174"/>
      <c r="G13" s="66">
        <f>0.5*(C14-A14)</f>
        <v>200</v>
      </c>
      <c r="H13" s="177"/>
      <c r="J13" s="57" t="s">
        <v>97</v>
      </c>
      <c r="K13" s="13" t="s">
        <v>96</v>
      </c>
      <c r="L13" s="73" t="s">
        <v>101</v>
      </c>
    </row>
    <row r="14" spans="1:12" ht="17.25" thickBot="1" x14ac:dyDescent="0.3">
      <c r="A14" s="81">
        <v>350</v>
      </c>
      <c r="B14" s="82">
        <v>650</v>
      </c>
      <c r="C14" s="83">
        <v>750</v>
      </c>
      <c r="F14" s="174"/>
      <c r="H14" s="177"/>
      <c r="J14" s="78">
        <f>H37</f>
        <v>100.53096491487338</v>
      </c>
      <c r="K14" s="14">
        <f>I37</f>
        <v>100</v>
      </c>
      <c r="L14" s="74">
        <f>J37</f>
        <v>45</v>
      </c>
    </row>
    <row r="15" spans="1:12" ht="18.75" thickBot="1" x14ac:dyDescent="0.3">
      <c r="D15" s="68" t="s">
        <v>82</v>
      </c>
      <c r="E15" s="75">
        <f>$M$27</f>
        <v>100.53096491487338</v>
      </c>
      <c r="F15" s="174"/>
      <c r="H15" s="177"/>
    </row>
    <row r="16" spans="1:12" ht="17.25" thickBot="1" x14ac:dyDescent="0.3">
      <c r="F16" s="174"/>
      <c r="H16" s="177"/>
    </row>
    <row r="17" spans="1:13" ht="18.75" thickBot="1" x14ac:dyDescent="0.3">
      <c r="D17" s="68" t="s">
        <v>81</v>
      </c>
      <c r="E17" s="75">
        <f>$M$31</f>
        <v>709.99993971129322</v>
      </c>
      <c r="F17" s="175"/>
      <c r="H17" s="178"/>
    </row>
    <row r="18" spans="1:13" ht="17.25" thickBot="1" x14ac:dyDescent="0.3">
      <c r="F18" s="65">
        <f>A14</f>
        <v>350</v>
      </c>
    </row>
    <row r="19" spans="1:13" ht="17.25" thickBot="1" x14ac:dyDescent="0.3"/>
    <row r="20" spans="1:13" ht="17.25" thickBot="1" x14ac:dyDescent="0.3">
      <c r="A20" s="144" t="s">
        <v>86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6"/>
    </row>
    <row r="21" spans="1:13" ht="36.75" thickBot="1" x14ac:dyDescent="0.3">
      <c r="A21" s="87" t="s">
        <v>68</v>
      </c>
      <c r="B21" s="53" t="s">
        <v>71</v>
      </c>
      <c r="C21" s="53" t="s">
        <v>70</v>
      </c>
      <c r="D21" s="53" t="s">
        <v>69</v>
      </c>
      <c r="E21" s="53" t="s">
        <v>74</v>
      </c>
      <c r="F21" s="53" t="s">
        <v>75</v>
      </c>
      <c r="G21" s="53" t="s">
        <v>76</v>
      </c>
      <c r="H21" s="53" t="s">
        <v>77</v>
      </c>
      <c r="I21" s="93" t="s">
        <v>78</v>
      </c>
      <c r="J21" s="53" t="s">
        <v>87</v>
      </c>
      <c r="K21" s="53" t="s">
        <v>88</v>
      </c>
      <c r="L21" s="93" t="s">
        <v>133</v>
      </c>
      <c r="M21" s="94" t="s">
        <v>89</v>
      </c>
    </row>
    <row r="22" spans="1:13" x14ac:dyDescent="0.25">
      <c r="A22" s="61" t="s">
        <v>72</v>
      </c>
      <c r="B22" s="84">
        <v>30</v>
      </c>
      <c r="C22" s="84">
        <v>25</v>
      </c>
      <c r="D22" s="84">
        <v>2</v>
      </c>
      <c r="E22" s="84">
        <v>14</v>
      </c>
      <c r="F22" s="84">
        <v>3</v>
      </c>
      <c r="G22" s="84">
        <v>0</v>
      </c>
      <c r="H22" s="84">
        <v>2</v>
      </c>
      <c r="I22" s="85">
        <f>($D$22*$C$22^2+$F$22*$E$22^2+$H$22*$G$22^2)*PI()/4</f>
        <v>1443.5618243245099</v>
      </c>
      <c r="J22" s="102">
        <f>($D$22*$C$22^2+$F$22*$E$22^2+$H$22*$G$22^2)/($D$22*$C$22+$F$22*$E$22+$H$22*$G$22)</f>
        <v>19.978260869565219</v>
      </c>
      <c r="K22" s="86">
        <f>0.5*$J$22+$B$22</f>
        <v>39.989130434782609</v>
      </c>
      <c r="L22" s="145">
        <f>$B$14-($K$22*$I$22+$K$23*$I$23)/($I$22+$I$23)</f>
        <v>610.01086956521738</v>
      </c>
      <c r="M22" s="147">
        <f>$I$22+$I$23</f>
        <v>1443.5618243245099</v>
      </c>
    </row>
    <row r="23" spans="1:13" ht="17.25" thickBot="1" x14ac:dyDescent="0.3">
      <c r="A23" s="58" t="s">
        <v>73</v>
      </c>
      <c r="B23" s="80">
        <v>0</v>
      </c>
      <c r="C23" s="80">
        <v>0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14">
        <f>($D$23*$C$23^2+$F$23*$E$23^2+$H$23*$G$23^2)*PI()/4</f>
        <v>0</v>
      </c>
      <c r="J23" s="19">
        <f>IF($C$23=0,0,($D$23*$C$23^2+$F$23*$E$23^2+$H$23*$G$23^2)/($D$23*$C$23+$F$23*$E$23+$H$23*$G$23))</f>
        <v>0</v>
      </c>
      <c r="K23" s="71">
        <f>IF(0.5*$J$23+$B$23+$J$22&lt;$K$22,0,0.5*$J$23+$B$23+$J$22)</f>
        <v>0</v>
      </c>
      <c r="L23" s="146"/>
      <c r="M23" s="148"/>
    </row>
    <row r="24" spans="1:13" ht="17.25" thickBot="1" x14ac:dyDescent="0.3">
      <c r="K24" s="75">
        <f>($K$22*$I$22+$K$23*$I$23)/($I$22+$I$23)</f>
        <v>39.989130434782609</v>
      </c>
    </row>
    <row r="25" spans="1:13" ht="17.25" thickBot="1" x14ac:dyDescent="0.3">
      <c r="A25" s="141" t="s">
        <v>85</v>
      </c>
      <c r="B25" s="142"/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3"/>
    </row>
    <row r="26" spans="1:13" ht="36.75" thickBot="1" x14ac:dyDescent="0.3">
      <c r="A26" s="56" t="s">
        <v>68</v>
      </c>
      <c r="B26" s="62" t="s">
        <v>71</v>
      </c>
      <c r="C26" s="62" t="s">
        <v>70</v>
      </c>
      <c r="D26" s="62" t="s">
        <v>69</v>
      </c>
      <c r="E26" s="62" t="s">
        <v>74</v>
      </c>
      <c r="F26" s="62" t="s">
        <v>75</v>
      </c>
      <c r="G26" s="62" t="s">
        <v>76</v>
      </c>
      <c r="H26" s="62" t="s">
        <v>77</v>
      </c>
      <c r="I26" s="91" t="s">
        <v>78</v>
      </c>
      <c r="J26" s="62" t="s">
        <v>138</v>
      </c>
      <c r="K26" s="62" t="s">
        <v>137</v>
      </c>
      <c r="L26" s="91" t="s">
        <v>135</v>
      </c>
      <c r="M26" s="92" t="s">
        <v>136</v>
      </c>
    </row>
    <row r="27" spans="1:13" ht="17.25" thickBot="1" x14ac:dyDescent="0.3">
      <c r="A27" s="87" t="s">
        <v>72</v>
      </c>
      <c r="B27" s="52">
        <f>0.5*B14</f>
        <v>325</v>
      </c>
      <c r="C27" s="52">
        <v>8</v>
      </c>
      <c r="D27" s="52">
        <v>2</v>
      </c>
      <c r="E27" s="52">
        <v>0</v>
      </c>
      <c r="F27" s="52">
        <v>0</v>
      </c>
      <c r="G27" s="52">
        <v>0</v>
      </c>
      <c r="H27" s="52">
        <v>2</v>
      </c>
      <c r="I27" s="88">
        <f>($D$27*$C$27^2+$F$27*$E$27^2+$H$27*$G$27^2)*PI()/4</f>
        <v>100.53096491487338</v>
      </c>
      <c r="J27" s="54">
        <f>($D$27*$C$27^2+$F$27*$E$27^2+$H$27*$G$27^2)/($D$27*$C$27+$F$27*$E$27+$H$27*$G$27)</f>
        <v>8</v>
      </c>
      <c r="K27" s="72">
        <f>B27</f>
        <v>325</v>
      </c>
      <c r="L27" s="89">
        <f>B27</f>
        <v>325</v>
      </c>
      <c r="M27" s="90">
        <f>I27</f>
        <v>100.53096491487338</v>
      </c>
    </row>
    <row r="28" spans="1:13" ht="17.25" thickBot="1" x14ac:dyDescent="0.3"/>
    <row r="29" spans="1:13" ht="17.25" thickBot="1" x14ac:dyDescent="0.3">
      <c r="A29" s="144" t="s">
        <v>67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6"/>
    </row>
    <row r="30" spans="1:13" ht="36.75" thickBot="1" x14ac:dyDescent="0.3">
      <c r="A30" s="87" t="s">
        <v>68</v>
      </c>
      <c r="B30" s="53" t="s">
        <v>71</v>
      </c>
      <c r="C30" s="53" t="s">
        <v>70</v>
      </c>
      <c r="D30" s="53" t="s">
        <v>69</v>
      </c>
      <c r="E30" s="53" t="s">
        <v>74</v>
      </c>
      <c r="F30" s="53" t="s">
        <v>75</v>
      </c>
      <c r="G30" s="53" t="s">
        <v>76</v>
      </c>
      <c r="H30" s="53" t="s">
        <v>77</v>
      </c>
      <c r="I30" s="93" t="s">
        <v>78</v>
      </c>
      <c r="J30" s="53" t="s">
        <v>84</v>
      </c>
      <c r="K30" s="53" t="s">
        <v>80</v>
      </c>
      <c r="L30" s="93" t="s">
        <v>134</v>
      </c>
      <c r="M30" s="94" t="s">
        <v>79</v>
      </c>
    </row>
    <row r="31" spans="1:13" x14ac:dyDescent="0.25">
      <c r="A31" s="61" t="s">
        <v>72</v>
      </c>
      <c r="B31" s="84">
        <v>30</v>
      </c>
      <c r="C31" s="84">
        <v>16</v>
      </c>
      <c r="D31" s="84">
        <v>2</v>
      </c>
      <c r="E31" s="84">
        <v>14</v>
      </c>
      <c r="F31" s="84">
        <v>2</v>
      </c>
      <c r="G31" s="84">
        <v>0</v>
      </c>
      <c r="H31" s="84">
        <v>2</v>
      </c>
      <c r="I31" s="85">
        <f>($D$31*$C$31^2+$F$31*$E$31^2+$H$31*$G$31^2)*PI()/4</f>
        <v>709.99993971129322</v>
      </c>
      <c r="J31" s="102">
        <f>($D$31*$C$31^2+$F$31*$E$31^2+$H$31*$G$31^2)/($D$31*$C$31+$F$31*$E$31+$H$31*$G$31)</f>
        <v>15.066666666666666</v>
      </c>
      <c r="K31" s="86">
        <f>0.5*$J$31+$B$31</f>
        <v>37.533333333333331</v>
      </c>
      <c r="L31" s="145">
        <f>$B$14-($K$31*$I$31+$K$32*$I$32)/($I$31+$I$32)</f>
        <v>612.4666666666667</v>
      </c>
      <c r="M31" s="147">
        <f>$I$31+$I$32</f>
        <v>709.99993971129322</v>
      </c>
    </row>
    <row r="32" spans="1:13" ht="17.25" thickBot="1" x14ac:dyDescent="0.3">
      <c r="A32" s="58" t="s">
        <v>73</v>
      </c>
      <c r="B32" s="80">
        <v>0</v>
      </c>
      <c r="C32" s="80">
        <v>0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14">
        <f>($D$32*$C$32^2+$F$32*$E$32^2+$H$32*$G$32^2)*PI()/4</f>
        <v>0</v>
      </c>
      <c r="J32" s="19">
        <f>IF(C32=0,0,($D$32*$C$32^2+$F$32*$E$32^2+$H$32*$G$32^2)/($D$32*$C$32+$F$32*$E$32+$H$32*$G$32))</f>
        <v>0</v>
      </c>
      <c r="K32" s="71">
        <f>IF(0.5*$J$32+$B$32+$J$31&lt;$K$31,0,0.5*$J$32+$B$23+$J$31)</f>
        <v>0</v>
      </c>
      <c r="L32" s="146"/>
      <c r="M32" s="148"/>
    </row>
    <row r="33" spans="1:15" ht="17.25" thickBot="1" x14ac:dyDescent="0.3">
      <c r="K33" s="75">
        <f>($K$31*$I$31+$K$32*$I$32)/($I$31+$I$32)</f>
        <v>37.533333333333331</v>
      </c>
    </row>
    <row r="34" spans="1:15" ht="17.25" thickBot="1" x14ac:dyDescent="0.3">
      <c r="I34" s="60"/>
      <c r="J34" s="60"/>
      <c r="K34" s="117"/>
      <c r="L34" s="60"/>
    </row>
    <row r="35" spans="1:15" ht="17.25" thickBot="1" x14ac:dyDescent="0.3">
      <c r="A35" s="155" t="s">
        <v>90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7"/>
      <c r="M35" s="77"/>
    </row>
    <row r="36" spans="1:15" ht="36" customHeight="1" thickBot="1" x14ac:dyDescent="0.3">
      <c r="A36" s="153"/>
      <c r="B36" s="95" t="s">
        <v>70</v>
      </c>
      <c r="C36" s="62" t="s">
        <v>91</v>
      </c>
      <c r="D36" s="62" t="s">
        <v>74</v>
      </c>
      <c r="E36" s="62" t="s">
        <v>92</v>
      </c>
      <c r="F36" s="62" t="s">
        <v>93</v>
      </c>
      <c r="G36" s="62" t="s">
        <v>94</v>
      </c>
      <c r="H36" s="91" t="s">
        <v>79</v>
      </c>
      <c r="I36" s="91" t="s">
        <v>95</v>
      </c>
      <c r="J36" s="91" t="s">
        <v>101</v>
      </c>
      <c r="K36" s="91" t="s">
        <v>144</v>
      </c>
      <c r="L36" s="92" t="s">
        <v>145</v>
      </c>
      <c r="M36" s="76"/>
      <c r="N36" s="76"/>
      <c r="O36" s="76"/>
    </row>
    <row r="37" spans="1:15" x14ac:dyDescent="0.25">
      <c r="A37" s="154"/>
      <c r="B37" s="96">
        <v>8</v>
      </c>
      <c r="C37" s="84">
        <v>100</v>
      </c>
      <c r="D37" s="84">
        <v>0</v>
      </c>
      <c r="E37" s="84">
        <v>0</v>
      </c>
      <c r="F37" s="84">
        <v>0</v>
      </c>
      <c r="G37" s="84">
        <v>0</v>
      </c>
      <c r="H37" s="151">
        <f>($B$38*$B$37^2+$D$38*$D$37^2+$F$38*$F$37^2)*PI()/4</f>
        <v>100.53096491487338</v>
      </c>
      <c r="I37" s="151">
        <f>($C$37*$B$38*$B$37^2+$E$37*$D$38*$D$37^2+$G$37*$F$38*$F$37^2)/($B$38*$B$37^2+$D$38*$D$37^2+$F$38*$F$37^2)</f>
        <v>100</v>
      </c>
      <c r="J37" s="149">
        <v>45</v>
      </c>
      <c r="K37" s="188">
        <f>(B38*B37^2+D38*D37^2+F38*F37^2)/(B38*B37+D38*D37+F38*F37)</f>
        <v>8</v>
      </c>
      <c r="L37" s="190">
        <f>B22-K37</f>
        <v>22</v>
      </c>
      <c r="M37" s="76"/>
      <c r="N37" s="76"/>
      <c r="O37" s="76"/>
    </row>
    <row r="38" spans="1:15" ht="17.25" thickBot="1" x14ac:dyDescent="0.3">
      <c r="A38" s="55" t="s">
        <v>98</v>
      </c>
      <c r="B38" s="97">
        <v>2</v>
      </c>
      <c r="C38" s="80" t="s">
        <v>99</v>
      </c>
      <c r="D38" s="80">
        <v>0</v>
      </c>
      <c r="E38" s="80" t="s">
        <v>99</v>
      </c>
      <c r="F38" s="80">
        <v>0</v>
      </c>
      <c r="G38" s="80" t="s">
        <v>99</v>
      </c>
      <c r="H38" s="152"/>
      <c r="I38" s="152"/>
      <c r="J38" s="150"/>
      <c r="K38" s="189"/>
      <c r="L38" s="191"/>
      <c r="M38" s="76"/>
      <c r="N38" s="76"/>
      <c r="O38" s="76"/>
    </row>
    <row r="39" spans="1:15" ht="17.25" thickBot="1" x14ac:dyDescent="0.3"/>
    <row r="40" spans="1:15" ht="17.25" thickBot="1" x14ac:dyDescent="0.3">
      <c r="A40" s="127" t="s">
        <v>100</v>
      </c>
      <c r="B40" s="128"/>
      <c r="C40" s="128"/>
      <c r="D40" s="128"/>
      <c r="E40" s="128"/>
      <c r="F40" s="128"/>
      <c r="G40" s="128"/>
      <c r="H40" s="129"/>
      <c r="I40" s="77"/>
      <c r="J40" s="60"/>
      <c r="K40" s="60"/>
      <c r="L40" s="60"/>
      <c r="M40" s="60"/>
    </row>
    <row r="41" spans="1:15" ht="37.5" customHeight="1" thickBot="1" x14ac:dyDescent="0.3">
      <c r="A41" s="63" t="s">
        <v>105</v>
      </c>
      <c r="B41" s="64" t="s">
        <v>102</v>
      </c>
      <c r="C41" s="91" t="s">
        <v>103</v>
      </c>
      <c r="D41" s="64" t="s">
        <v>104</v>
      </c>
      <c r="E41" s="64" t="s">
        <v>106</v>
      </c>
      <c r="F41" s="125" t="s">
        <v>126</v>
      </c>
      <c r="G41" s="125"/>
      <c r="H41" s="92" t="s">
        <v>142</v>
      </c>
      <c r="I41" s="60"/>
      <c r="J41" s="60"/>
      <c r="K41" s="60"/>
      <c r="L41" s="60"/>
      <c r="M41" s="60"/>
    </row>
    <row r="42" spans="1:15" ht="17.25" thickBot="1" x14ac:dyDescent="0.3">
      <c r="A42" s="105">
        <v>0</v>
      </c>
      <c r="B42" s="106">
        <v>-302.12</v>
      </c>
      <c r="C42" s="106">
        <v>157</v>
      </c>
      <c r="D42" s="106">
        <v>238</v>
      </c>
      <c r="E42" s="106" t="s">
        <v>114</v>
      </c>
      <c r="F42" s="140" t="s">
        <v>152</v>
      </c>
      <c r="G42" s="140"/>
      <c r="H42" s="107">
        <v>0.4</v>
      </c>
      <c r="I42" s="60"/>
      <c r="J42" s="60"/>
      <c r="K42" s="60"/>
      <c r="L42" s="60"/>
      <c r="M42" s="60"/>
    </row>
    <row r="43" spans="1:15" x14ac:dyDescent="0.25">
      <c r="D43" s="60"/>
      <c r="E43" s="60"/>
      <c r="F43" s="60"/>
      <c r="G43" s="60"/>
      <c r="H43" s="60"/>
      <c r="I43" s="60"/>
      <c r="J43" s="60"/>
      <c r="K43" s="60"/>
      <c r="L43" s="60"/>
      <c r="M43" s="60"/>
    </row>
    <row r="44" spans="1:15" x14ac:dyDescent="0.25">
      <c r="D44" s="60"/>
      <c r="E44" s="60"/>
      <c r="F44" s="60"/>
      <c r="G44" s="60"/>
      <c r="H44" s="60"/>
      <c r="I44" s="60"/>
      <c r="J44" s="60"/>
      <c r="K44" s="60"/>
      <c r="L44" s="60"/>
      <c r="M44" s="60"/>
    </row>
    <row r="45" spans="1:15" x14ac:dyDescent="0.25">
      <c r="D45" s="60"/>
      <c r="E45" s="60"/>
      <c r="F45" s="60"/>
      <c r="G45" s="60"/>
      <c r="H45" s="60"/>
      <c r="I45" s="60"/>
      <c r="J45" s="60"/>
      <c r="K45" s="60"/>
      <c r="L45" s="60"/>
      <c r="M45" s="60"/>
    </row>
    <row r="46" spans="1:15" x14ac:dyDescent="0.25">
      <c r="D46" s="60"/>
      <c r="E46" s="60"/>
      <c r="F46" s="60"/>
      <c r="G46" s="60"/>
      <c r="H46" s="60"/>
      <c r="I46" s="60"/>
      <c r="J46" s="60"/>
      <c r="K46" s="60"/>
      <c r="L46" s="60"/>
      <c r="M46" s="60"/>
    </row>
    <row r="47" spans="1:15" x14ac:dyDescent="0.25">
      <c r="D47" s="60"/>
      <c r="E47" s="60"/>
      <c r="F47" s="60"/>
      <c r="G47" s="60"/>
      <c r="H47" s="60"/>
      <c r="I47" s="60"/>
      <c r="J47" s="60"/>
      <c r="K47" s="60"/>
      <c r="L47" s="60"/>
      <c r="M47" s="60"/>
    </row>
    <row r="48" spans="1:15" x14ac:dyDescent="0.25">
      <c r="D48" s="60"/>
      <c r="E48" s="60"/>
      <c r="F48" s="60"/>
      <c r="G48" s="60"/>
      <c r="H48" s="60"/>
      <c r="I48" s="60"/>
      <c r="J48" s="60"/>
      <c r="K48" s="60"/>
      <c r="L48" s="60"/>
      <c r="M48" s="60"/>
    </row>
    <row r="49" spans="1:13" x14ac:dyDescent="0.25">
      <c r="D49" s="60"/>
      <c r="E49" s="60"/>
      <c r="F49" s="60"/>
      <c r="G49" s="60"/>
      <c r="H49" s="60"/>
      <c r="I49" s="60"/>
      <c r="J49" s="60"/>
      <c r="K49" s="60"/>
      <c r="L49" s="60"/>
      <c r="M49" s="60"/>
    </row>
    <row r="50" spans="1:13" x14ac:dyDescent="0.25">
      <c r="D50" s="60"/>
      <c r="E50" s="60"/>
      <c r="F50" s="60"/>
      <c r="G50" s="60"/>
      <c r="H50" s="60"/>
      <c r="I50" s="60"/>
      <c r="J50" s="60"/>
      <c r="K50" s="60"/>
      <c r="L50" s="60"/>
      <c r="M50" s="60"/>
    </row>
    <row r="51" spans="1:13" x14ac:dyDescent="0.25">
      <c r="D51" s="60"/>
      <c r="E51" s="60"/>
      <c r="F51" s="60"/>
      <c r="G51" s="60"/>
      <c r="H51" s="60"/>
      <c r="I51" s="60"/>
      <c r="J51" s="60"/>
      <c r="K51" s="60"/>
      <c r="L51" s="60"/>
      <c r="M51" s="60"/>
    </row>
    <row r="52" spans="1:13" x14ac:dyDescent="0.25">
      <c r="D52" s="60"/>
      <c r="E52" s="60"/>
      <c r="F52" s="60"/>
      <c r="G52" s="60"/>
      <c r="H52" s="60"/>
      <c r="I52" s="60"/>
      <c r="J52" s="60"/>
      <c r="K52" s="60"/>
      <c r="L52" s="60"/>
      <c r="M52" s="60"/>
    </row>
    <row r="53" spans="1:13" ht="17.25" thickBot="1" x14ac:dyDescent="0.3"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3" ht="17.25" thickBot="1" x14ac:dyDescent="0.35">
      <c r="A54" s="137" t="s">
        <v>141</v>
      </c>
      <c r="B54" s="138"/>
      <c r="C54" s="138"/>
      <c r="D54" s="138"/>
      <c r="E54" s="138"/>
      <c r="F54" s="138"/>
      <c r="G54" s="138"/>
      <c r="H54" s="139"/>
      <c r="I54" s="60"/>
      <c r="J54" s="60"/>
      <c r="K54" s="60"/>
      <c r="L54" s="60"/>
      <c r="M54" s="60"/>
    </row>
    <row r="55" spans="1:13" ht="17.25" thickBot="1" x14ac:dyDescent="0.3">
      <c r="A55" s="127" t="s">
        <v>108</v>
      </c>
      <c r="B55" s="128"/>
      <c r="C55" s="128"/>
      <c r="D55" s="128"/>
      <c r="E55" s="128"/>
      <c r="F55" s="128"/>
      <c r="G55" s="128"/>
      <c r="H55" s="129"/>
      <c r="I55" s="60"/>
      <c r="J55" s="60"/>
      <c r="K55" s="60"/>
      <c r="L55" s="60"/>
      <c r="M55" s="60"/>
    </row>
    <row r="56" spans="1:13" x14ac:dyDescent="0.25">
      <c r="A56" s="57" t="s">
        <v>109</v>
      </c>
      <c r="B56" s="13">
        <f>IF(A6=OB35,1.6,0.8)</f>
        <v>0.8</v>
      </c>
      <c r="C56" s="130" t="s">
        <v>113</v>
      </c>
      <c r="D56" s="130"/>
      <c r="E56" s="130"/>
      <c r="F56" s="130"/>
      <c r="G56" s="130"/>
      <c r="H56" s="131"/>
      <c r="K56" s="60"/>
      <c r="L56" s="60"/>
      <c r="M56" s="60"/>
    </row>
    <row r="57" spans="1:13" x14ac:dyDescent="0.25">
      <c r="A57" s="67" t="s">
        <v>110</v>
      </c>
      <c r="B57" s="17">
        <f>IF(E42="n",1,0.5)</f>
        <v>0.5</v>
      </c>
      <c r="C57" s="132" t="s">
        <v>115</v>
      </c>
      <c r="D57" s="132"/>
      <c r="E57" s="132"/>
      <c r="F57" s="132"/>
      <c r="G57" s="132"/>
      <c r="H57" s="133"/>
      <c r="K57" s="60"/>
      <c r="L57" s="60"/>
      <c r="M57" s="60"/>
    </row>
    <row r="58" spans="1:13" ht="33" customHeight="1" x14ac:dyDescent="0.25">
      <c r="A58" s="67" t="s">
        <v>111</v>
      </c>
      <c r="B58" s="79">
        <v>3.4</v>
      </c>
      <c r="C58" s="134" t="s">
        <v>151</v>
      </c>
      <c r="D58" s="135"/>
      <c r="E58" s="135"/>
      <c r="F58" s="135"/>
      <c r="G58" s="135"/>
      <c r="H58" s="136"/>
    </row>
    <row r="59" spans="1:13" x14ac:dyDescent="0.25">
      <c r="A59" s="67" t="s">
        <v>112</v>
      </c>
      <c r="B59" s="79">
        <v>0.42499999999999999</v>
      </c>
      <c r="C59" s="132" t="s">
        <v>116</v>
      </c>
      <c r="D59" s="132"/>
      <c r="E59" s="132"/>
      <c r="F59" s="132"/>
      <c r="G59" s="132"/>
      <c r="H59" s="133"/>
    </row>
    <row r="60" spans="1:13" ht="18" x14ac:dyDescent="0.25">
      <c r="A60" s="67" t="s">
        <v>129</v>
      </c>
      <c r="B60" s="101">
        <f>G6/(1000*J3)</f>
        <v>6.774193548387097</v>
      </c>
      <c r="C60" s="118" t="s">
        <v>130</v>
      </c>
      <c r="D60" s="119"/>
      <c r="E60" s="119"/>
      <c r="F60" s="119"/>
      <c r="G60" s="119"/>
      <c r="H60" s="120"/>
    </row>
    <row r="61" spans="1:13" ht="30" customHeight="1" x14ac:dyDescent="0.25">
      <c r="A61" s="67" t="s">
        <v>118</v>
      </c>
      <c r="B61" s="70">
        <f>A14*MIN(2.5*(B14-IF(B42&lt;0,L22,L31)),(B14-D42)/3,0.5*B14)</f>
        <v>34990.489130434798</v>
      </c>
      <c r="C61" s="121" t="s">
        <v>117</v>
      </c>
      <c r="D61" s="121"/>
      <c r="E61" s="121"/>
      <c r="F61" s="121"/>
      <c r="G61" s="121"/>
      <c r="H61" s="122"/>
      <c r="I61" s="20"/>
    </row>
    <row r="62" spans="1:13" ht="18" x14ac:dyDescent="0.25">
      <c r="A62" s="67" t="s">
        <v>119</v>
      </c>
      <c r="B62" s="104">
        <f>(IF(B42&lt;0,M22,M31))/B61</f>
        <v>4.1255834376687714E-2</v>
      </c>
      <c r="C62" s="132" t="s">
        <v>120</v>
      </c>
      <c r="D62" s="132"/>
      <c r="E62" s="132"/>
      <c r="F62" s="132"/>
      <c r="G62" s="132"/>
      <c r="H62" s="133"/>
    </row>
    <row r="63" spans="1:13" ht="18.75" thickBot="1" x14ac:dyDescent="0.3">
      <c r="A63" s="98" t="s">
        <v>121</v>
      </c>
      <c r="B63" s="99">
        <f>(IF(B42&lt;0,B22,B31)*B58)+(B56*B57*B59*IF(B42&lt;0,J22,J31))/B62</f>
        <v>184.32300713678512</v>
      </c>
      <c r="C63" s="123" t="s">
        <v>107</v>
      </c>
      <c r="D63" s="123"/>
      <c r="E63" s="123"/>
      <c r="F63" s="123"/>
      <c r="G63" s="123"/>
      <c r="H63" s="124"/>
    </row>
    <row r="64" spans="1:13" ht="18.75" thickBot="1" x14ac:dyDescent="0.3">
      <c r="A64" s="56" t="s">
        <v>122</v>
      </c>
      <c r="B64" s="100">
        <v>150</v>
      </c>
      <c r="C64" s="125" t="s">
        <v>123</v>
      </c>
      <c r="D64" s="125"/>
      <c r="E64" s="125"/>
      <c r="F64" s="125"/>
      <c r="G64" s="125"/>
      <c r="H64" s="126"/>
    </row>
    <row r="65" spans="1:8" ht="17.25" thickBot="1" x14ac:dyDescent="0.3">
      <c r="A65" s="155"/>
      <c r="B65" s="156"/>
      <c r="C65" s="156"/>
      <c r="D65" s="156"/>
      <c r="E65" s="156"/>
      <c r="F65" s="156"/>
      <c r="G65" s="156"/>
      <c r="H65" s="157"/>
    </row>
    <row r="66" spans="1:8" ht="18" x14ac:dyDescent="0.25">
      <c r="A66" s="57" t="s">
        <v>125</v>
      </c>
      <c r="B66" s="103">
        <f>IF(IF(B42&lt;0,(ABS(B42)*10^6)/(M22*(L22-D42/3)+(M27*((0.5*B14-D42/3)^2)/(L22-D42))+(M31*((D42/3-K33)^2)/(L22-D42))),ABS(B42*10^6)/(M31*(L31-D42/3)+(M27*((0.5*B14-D42/3)^2)/(L22-D42))+(M22*((D42/3-K24)^2)/(L22-D42))))&gt;fyk,fyk,IF(B42&lt;0,(ABS(B42)*10^6)/(M22*(L22-D42/3)+(M27*((0.5*B14-D42/3)^2)/(L22-D42))+(M31*((D42/3-K33)^2)/(L22-D42))),ABS(B42*10^6)/(M31*(L31-D42/3)+(M27*((0.5*B14-D42/3)^2)/(L22-D42))+(M22*((D42/3-K24)^2)/(L22-D42)))))+(A42*10^3/(M31+M27+M22))</f>
        <v>384.51852367767617</v>
      </c>
      <c r="C66" s="130" t="s">
        <v>124</v>
      </c>
      <c r="D66" s="130"/>
      <c r="E66" s="130"/>
      <c r="F66" s="130"/>
      <c r="G66" s="130"/>
      <c r="H66" s="131"/>
    </row>
    <row r="67" spans="1:8" ht="18" x14ac:dyDescent="0.25">
      <c r="A67" s="67" t="s">
        <v>128</v>
      </c>
      <c r="B67" s="17">
        <f>IF(F42="scură durată",0.6,0.4)</f>
        <v>0.6</v>
      </c>
      <c r="C67" s="132" t="s">
        <v>127</v>
      </c>
      <c r="D67" s="132"/>
      <c r="E67" s="132"/>
      <c r="F67" s="132"/>
      <c r="G67" s="132"/>
      <c r="H67" s="133"/>
    </row>
    <row r="68" spans="1:8" ht="18.75" thickBot="1" x14ac:dyDescent="0.3">
      <c r="A68" s="67" t="s">
        <v>131</v>
      </c>
      <c r="B68" s="17">
        <f>fctm</f>
        <v>2.6</v>
      </c>
      <c r="C68" s="118" t="s">
        <v>132</v>
      </c>
      <c r="D68" s="119"/>
      <c r="E68" s="119"/>
      <c r="F68" s="119"/>
      <c r="G68" s="119"/>
      <c r="H68" s="120"/>
    </row>
    <row r="69" spans="1:8" ht="17.25" thickBot="1" x14ac:dyDescent="0.35">
      <c r="A69" s="193" t="s">
        <v>154</v>
      </c>
      <c r="B69" s="194"/>
      <c r="C69" s="194"/>
      <c r="D69" s="194"/>
      <c r="E69" s="138"/>
      <c r="F69" s="138"/>
      <c r="G69" s="138"/>
      <c r="H69" s="139"/>
    </row>
    <row r="70" spans="1:8" ht="18" x14ac:dyDescent="0.25">
      <c r="A70" s="57" t="s">
        <v>139</v>
      </c>
      <c r="B70" s="192">
        <f>B63*IF((B66-(B67*B68*(1+B60*B62)/B62))/G6&gt;=0.6*B66/G6,(B66-(B67*B68*(1+B60*B62)/B62))/G6,0.6*B66/G6)</f>
        <v>0.29503789245602058</v>
      </c>
      <c r="C70" s="192"/>
      <c r="D70" s="110" t="str">
        <f>IF(B70&lt;$H$42,"k","nk")</f>
        <v>k</v>
      </c>
    </row>
    <row r="71" spans="1:8" ht="18.75" thickBot="1" x14ac:dyDescent="0.3">
      <c r="A71" s="58" t="s">
        <v>140</v>
      </c>
      <c r="B71" s="186">
        <f>B64*IF((B66-(B67*B68*(1+B60*B62)/B62))/G6&gt;=0.6*B66/G6,(B66-(B67*B68*(1+B60*B62)/B62))/G6,0.6*B66/G6)</f>
        <v>0.24009853439273146</v>
      </c>
      <c r="C71" s="186"/>
      <c r="D71" s="111" t="str">
        <f>IF(B71&lt;$H$42,"k","nk")</f>
        <v>k</v>
      </c>
    </row>
    <row r="72" spans="1:8" ht="17.25" thickBot="1" x14ac:dyDescent="0.3"/>
    <row r="73" spans="1:8" ht="17.25" thickBot="1" x14ac:dyDescent="0.35">
      <c r="A73" s="137" t="s">
        <v>143</v>
      </c>
      <c r="B73" s="138"/>
      <c r="C73" s="138"/>
      <c r="D73" s="138"/>
      <c r="E73" s="138"/>
      <c r="F73" s="138"/>
      <c r="G73" s="138"/>
      <c r="H73" s="139"/>
    </row>
    <row r="74" spans="1:8" ht="17.25" thickBot="1" x14ac:dyDescent="0.3">
      <c r="A74" s="127" t="s">
        <v>108</v>
      </c>
      <c r="B74" s="128"/>
      <c r="C74" s="128"/>
      <c r="D74" s="128"/>
      <c r="E74" s="128"/>
      <c r="F74" s="128"/>
      <c r="G74" s="128"/>
      <c r="H74" s="129"/>
    </row>
    <row r="75" spans="1:8" x14ac:dyDescent="0.25">
      <c r="A75" s="57" t="s">
        <v>109</v>
      </c>
      <c r="B75" s="13">
        <f>IF(A9=OB37,1.6,0.8)</f>
        <v>0.8</v>
      </c>
      <c r="C75" s="130" t="s">
        <v>113</v>
      </c>
      <c r="D75" s="130"/>
      <c r="E75" s="130"/>
      <c r="F75" s="130"/>
      <c r="G75" s="130"/>
      <c r="H75" s="131"/>
    </row>
    <row r="76" spans="1:8" x14ac:dyDescent="0.25">
      <c r="A76" s="67" t="s">
        <v>110</v>
      </c>
      <c r="B76" s="79">
        <v>1</v>
      </c>
      <c r="C76" s="132" t="s">
        <v>115</v>
      </c>
      <c r="D76" s="132"/>
      <c r="E76" s="132"/>
      <c r="F76" s="132"/>
      <c r="G76" s="132"/>
      <c r="H76" s="133"/>
    </row>
    <row r="77" spans="1:8" ht="30" customHeight="1" x14ac:dyDescent="0.25">
      <c r="A77" s="67" t="s">
        <v>111</v>
      </c>
      <c r="B77" s="79">
        <v>3.4</v>
      </c>
      <c r="C77" s="134" t="s">
        <v>151</v>
      </c>
      <c r="D77" s="135"/>
      <c r="E77" s="135"/>
      <c r="F77" s="135"/>
      <c r="G77" s="135"/>
      <c r="H77" s="136"/>
    </row>
    <row r="78" spans="1:8" x14ac:dyDescent="0.25">
      <c r="A78" s="67" t="s">
        <v>112</v>
      </c>
      <c r="B78" s="79">
        <v>0.42499999999999999</v>
      </c>
      <c r="C78" s="132" t="s">
        <v>116</v>
      </c>
      <c r="D78" s="132"/>
      <c r="E78" s="132"/>
      <c r="F78" s="132"/>
      <c r="G78" s="132"/>
      <c r="H78" s="133"/>
    </row>
    <row r="79" spans="1:8" ht="18" x14ac:dyDescent="0.25">
      <c r="A79" s="67" t="s">
        <v>129</v>
      </c>
      <c r="B79" s="101">
        <f>G9/(1000*J3)</f>
        <v>6.774193548387097</v>
      </c>
      <c r="C79" s="118" t="s">
        <v>130</v>
      </c>
      <c r="D79" s="119"/>
      <c r="E79" s="119"/>
      <c r="F79" s="119"/>
      <c r="G79" s="119"/>
      <c r="H79" s="120"/>
    </row>
    <row r="80" spans="1:8" ht="29.25" customHeight="1" x14ac:dyDescent="0.25">
      <c r="A80" s="67" t="s">
        <v>118</v>
      </c>
      <c r="B80" s="70">
        <f>2*(2.5*(L37+0.5*K37)*MIN(15*K37,I37))</f>
        <v>13000</v>
      </c>
      <c r="C80" s="121" t="s">
        <v>117</v>
      </c>
      <c r="D80" s="121"/>
      <c r="E80" s="121"/>
      <c r="F80" s="121"/>
      <c r="G80" s="121"/>
      <c r="H80" s="122"/>
    </row>
    <row r="81" spans="1:8" ht="18.75" thickBot="1" x14ac:dyDescent="0.3">
      <c r="A81" s="98" t="s">
        <v>119</v>
      </c>
      <c r="B81" s="112">
        <f>H37/B80</f>
        <v>7.7331511472979522E-3</v>
      </c>
      <c r="C81" s="123" t="s">
        <v>120</v>
      </c>
      <c r="D81" s="123"/>
      <c r="E81" s="123"/>
      <c r="F81" s="123"/>
      <c r="G81" s="123"/>
      <c r="H81" s="124"/>
    </row>
    <row r="82" spans="1:8" ht="18.75" thickBot="1" x14ac:dyDescent="0.3">
      <c r="A82" s="63" t="s">
        <v>121</v>
      </c>
      <c r="B82" s="113">
        <f>MIN(0.9*L22,B77*L37+B75*B76*B78*(K37/B81))</f>
        <v>426.53242423308876</v>
      </c>
      <c r="C82" s="125" t="s">
        <v>107</v>
      </c>
      <c r="D82" s="125"/>
      <c r="E82" s="125"/>
      <c r="F82" s="125"/>
      <c r="G82" s="125"/>
      <c r="H82" s="126"/>
    </row>
    <row r="83" spans="1:8" ht="17.25" thickBot="1" x14ac:dyDescent="0.3">
      <c r="A83" s="155"/>
      <c r="B83" s="156"/>
      <c r="C83" s="156"/>
      <c r="D83" s="156"/>
      <c r="E83" s="156"/>
      <c r="F83" s="156"/>
      <c r="G83" s="156"/>
      <c r="H83" s="157"/>
    </row>
    <row r="84" spans="1:8" ht="18.75" thickBot="1" x14ac:dyDescent="0.3">
      <c r="A84" s="63" t="s">
        <v>146</v>
      </c>
      <c r="B84" s="113">
        <f>10^3*C42*I37*TAN(RADIANS(J37))/(H37*0.9*L22)</f>
        <v>284.45902578794727</v>
      </c>
      <c r="C84" s="125" t="s">
        <v>147</v>
      </c>
      <c r="D84" s="125"/>
      <c r="E84" s="125"/>
      <c r="F84" s="125"/>
      <c r="G84" s="125"/>
      <c r="H84" s="126"/>
    </row>
    <row r="85" spans="1:8" ht="18" x14ac:dyDescent="0.25">
      <c r="A85" s="67" t="s">
        <v>128</v>
      </c>
      <c r="B85" s="116">
        <f>IF(F60="scură durată",0.6,0.4)</f>
        <v>0.4</v>
      </c>
      <c r="C85" s="132" t="s">
        <v>127</v>
      </c>
      <c r="D85" s="132"/>
      <c r="E85" s="132"/>
      <c r="F85" s="132"/>
      <c r="G85" s="132"/>
      <c r="H85" s="133"/>
    </row>
    <row r="86" spans="1:8" ht="18.75" thickBot="1" x14ac:dyDescent="0.3">
      <c r="A86" s="67" t="s">
        <v>131</v>
      </c>
      <c r="B86" s="116">
        <f>fctm</f>
        <v>2.6</v>
      </c>
      <c r="C86" s="118" t="s">
        <v>132</v>
      </c>
      <c r="D86" s="119"/>
      <c r="E86" s="119"/>
      <c r="F86" s="119"/>
      <c r="G86" s="119"/>
      <c r="H86" s="120"/>
    </row>
    <row r="87" spans="1:8" ht="17.25" thickBot="1" x14ac:dyDescent="0.35">
      <c r="A87" s="193" t="s">
        <v>153</v>
      </c>
      <c r="B87" s="194"/>
      <c r="C87" s="194"/>
      <c r="D87" s="194"/>
      <c r="E87" s="138"/>
      <c r="F87" s="138"/>
      <c r="G87" s="138"/>
      <c r="H87" s="139"/>
    </row>
    <row r="88" spans="1:8" ht="18" x14ac:dyDescent="0.25">
      <c r="A88" s="115" t="s">
        <v>139</v>
      </c>
      <c r="B88" s="192">
        <f>(IF((B84-B85*(B86/B81)*(1+B79*B81))/G9&gt;=0.6*B84/G9,0.6*B84/G9,(B84-B85*(B86/B81)*(1+B79*B81))/G9))*B82</f>
        <v>0.29030190337501982</v>
      </c>
      <c r="C88" s="192"/>
      <c r="D88" s="110" t="str">
        <f>IF(B88&lt;$H$42,"k","nk")</f>
        <v>k</v>
      </c>
    </row>
    <row r="90" spans="1:8" ht="17.25" thickBot="1" x14ac:dyDescent="0.3"/>
    <row r="91" spans="1:8" ht="33.75" customHeight="1" thickBot="1" x14ac:dyDescent="0.3">
      <c r="A91" s="179" t="s">
        <v>148</v>
      </c>
      <c r="B91" s="180"/>
      <c r="C91" s="180"/>
      <c r="D91" s="180" t="s">
        <v>150</v>
      </c>
      <c r="E91" s="180"/>
      <c r="F91" s="183"/>
    </row>
    <row r="92" spans="1:8" ht="18" x14ac:dyDescent="0.25">
      <c r="A92" s="61" t="s">
        <v>121</v>
      </c>
      <c r="B92" s="181">
        <f>1/((COS(RADIANS(J37))/B82)+(SIN(RADIANS(J37))/B63))</f>
        <v>182.0154091487</v>
      </c>
      <c r="C92" s="181"/>
      <c r="D92" s="109" t="s">
        <v>139</v>
      </c>
      <c r="E92" s="184">
        <f>B92*IF(((B66+0.5*C42*10^3/M22)-(B67*B68*(1+B60*B62)/B62))/G6&lt;0.6*(B66+0.5*C42*10^3/M22)/G6,((B66+0.5*C42*10^3/M22)-(B67*B68*(1+B60*B62)/B62))/G6,0.6*(B66+0.5*C42*10^3/M22)/G6)</f>
        <v>0.22824623397388374</v>
      </c>
      <c r="F92" s="185"/>
    </row>
    <row r="93" spans="1:8" ht="18.75" thickBot="1" x14ac:dyDescent="0.3">
      <c r="A93" s="58" t="s">
        <v>149</v>
      </c>
      <c r="B93" s="182">
        <f>IF(B92&lt;100,I37,B92)</f>
        <v>182.0154091487</v>
      </c>
      <c r="C93" s="182"/>
      <c r="D93" s="108" t="s">
        <v>140</v>
      </c>
      <c r="E93" s="186">
        <f>B93*IF(((B66+0.5*C42*10^3/M22)-(B67*B68*(1+B60*B62)/B62))/G6&lt;0.6*(B66+0.5*C42*10^3/M22)/G6,((B66+0.5*C42*10^3/M22)-(B67*B68*(1+B60*B62)/B62))/G6,0.6*(B66+0.5*C42*10^3/M22)/G6)</f>
        <v>0.22824623397388374</v>
      </c>
      <c r="F93" s="187"/>
      <c r="G93" s="114"/>
    </row>
    <row r="96" spans="1:8" x14ac:dyDescent="0.25">
      <c r="G96" s="114"/>
    </row>
  </sheetData>
  <mergeCells count="67">
    <mergeCell ref="C85:H85"/>
    <mergeCell ref="C86:H86"/>
    <mergeCell ref="A87:H87"/>
    <mergeCell ref="B88:C88"/>
    <mergeCell ref="C84:H84"/>
    <mergeCell ref="A83:H83"/>
    <mergeCell ref="K37:K38"/>
    <mergeCell ref="L37:L38"/>
    <mergeCell ref="C64:H64"/>
    <mergeCell ref="C56:H56"/>
    <mergeCell ref="C57:H57"/>
    <mergeCell ref="C58:H58"/>
    <mergeCell ref="C59:H59"/>
    <mergeCell ref="B70:C70"/>
    <mergeCell ref="B71:C71"/>
    <mergeCell ref="A73:H73"/>
    <mergeCell ref="C67:H67"/>
    <mergeCell ref="A65:H65"/>
    <mergeCell ref="C60:H60"/>
    <mergeCell ref="C68:H68"/>
    <mergeCell ref="A69:H69"/>
    <mergeCell ref="A91:C91"/>
    <mergeCell ref="B92:C92"/>
    <mergeCell ref="B93:C93"/>
    <mergeCell ref="D91:F91"/>
    <mergeCell ref="E92:F92"/>
    <mergeCell ref="E93:F93"/>
    <mergeCell ref="A12:C12"/>
    <mergeCell ref="E12:G12"/>
    <mergeCell ref="E11:G11"/>
    <mergeCell ref="A20:M20"/>
    <mergeCell ref="M22:M23"/>
    <mergeCell ref="F13:F17"/>
    <mergeCell ref="H12:H17"/>
    <mergeCell ref="L22:L23"/>
    <mergeCell ref="A1:L1"/>
    <mergeCell ref="A4:L4"/>
    <mergeCell ref="A7:L7"/>
    <mergeCell ref="I5:L6"/>
    <mergeCell ref="I8:L9"/>
    <mergeCell ref="A25:M25"/>
    <mergeCell ref="A29:M29"/>
    <mergeCell ref="L31:L32"/>
    <mergeCell ref="M31:M32"/>
    <mergeCell ref="A55:H55"/>
    <mergeCell ref="J37:J38"/>
    <mergeCell ref="H37:H38"/>
    <mergeCell ref="I37:I38"/>
    <mergeCell ref="A36:A37"/>
    <mergeCell ref="A35:L35"/>
    <mergeCell ref="A40:H40"/>
    <mergeCell ref="C66:H66"/>
    <mergeCell ref="A54:H54"/>
    <mergeCell ref="F41:G41"/>
    <mergeCell ref="F42:G42"/>
    <mergeCell ref="C61:H61"/>
    <mergeCell ref="C62:H62"/>
    <mergeCell ref="C63:H63"/>
    <mergeCell ref="C79:H79"/>
    <mergeCell ref="C80:H80"/>
    <mergeCell ref="C81:H81"/>
    <mergeCell ref="C82:H82"/>
    <mergeCell ref="A74:H74"/>
    <mergeCell ref="C75:H75"/>
    <mergeCell ref="C76:H76"/>
    <mergeCell ref="C77:H77"/>
    <mergeCell ref="C78:H78"/>
  </mergeCells>
  <conditionalFormatting sqref="D70:D71">
    <cfRule type="expression" dxfId="1" priority="2">
      <formula>$D$70="nk"</formula>
    </cfRule>
  </conditionalFormatting>
  <conditionalFormatting sqref="D88">
    <cfRule type="expression" dxfId="0" priority="1">
      <formula>$D$70="nk"</formula>
    </cfRule>
  </conditionalFormatting>
  <dataValidations disablePrompts="1" count="5">
    <dataValidation type="list" allowBlank="1" showInputMessage="1" showErrorMessage="1" sqref="A3" xr:uid="{00000000-0002-0000-0000-000000000000}">
      <formula1>Beton</formula1>
    </dataValidation>
    <dataValidation type="list" allowBlank="1" showInputMessage="1" showErrorMessage="1" sqref="A6 A9" xr:uid="{00000000-0002-0000-0000-000001000000}">
      <formula1>Otel</formula1>
    </dataValidation>
    <dataValidation type="list" allowBlank="1" showInputMessage="1" showErrorMessage="1" sqref="E42" xr:uid="{00000000-0002-0000-0000-000002000000}">
      <formula1>"n, m"</formula1>
    </dataValidation>
    <dataValidation type="list" allowBlank="1" showInputMessage="1" showErrorMessage="1" sqref="F42:G42" xr:uid="{00000000-0002-0000-0000-000003000000}">
      <formula1>"scură durată, lungă durată"</formula1>
    </dataValidation>
    <dataValidation type="list" allowBlank="1" showInputMessage="1" showErrorMessage="1" sqref="H42" xr:uid="{00000000-0002-0000-0000-000004000000}">
      <formula1>"0.05,0.1,0.15,0.2,0.25,0.3,0.35,0.4,0.45"</formula1>
    </dataValidation>
  </dataValidations>
  <pageMargins left="0.7" right="0.7" top="0.75" bottom="0.75" header="0.3" footer="0.3"/>
  <pageSetup paperSize="194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4"/>
  <sheetViews>
    <sheetView zoomScaleNormal="100" workbookViewId="0">
      <selection activeCell="B26" sqref="B26"/>
    </sheetView>
  </sheetViews>
  <sheetFormatPr defaultRowHeight="16.5" x14ac:dyDescent="0.25"/>
  <cols>
    <col min="1" max="1" width="7.7109375" style="15" bestFit="1" customWidth="1"/>
    <col min="2" max="2" width="7" style="15" bestFit="1" customWidth="1"/>
    <col min="3" max="3" width="7.7109375" style="15" bestFit="1" customWidth="1"/>
    <col min="4" max="4" width="7.5703125" style="15" bestFit="1" customWidth="1"/>
    <col min="5" max="5" width="8" style="15" bestFit="1" customWidth="1"/>
    <col min="6" max="7" width="7.5703125" style="15" bestFit="1" customWidth="1"/>
    <col min="8" max="8" width="9.42578125" style="15" bestFit="1" customWidth="1"/>
    <col min="9" max="9" width="12.5703125" style="15" bestFit="1" customWidth="1"/>
    <col min="10" max="10" width="6.5703125" style="15" customWidth="1"/>
    <col min="11" max="11" width="6" style="15" customWidth="1"/>
    <col min="12" max="239" width="9.140625" style="15"/>
    <col min="240" max="240" width="7.5703125" style="15" customWidth="1"/>
    <col min="241" max="241" width="9.140625" style="15"/>
    <col min="242" max="242" width="9.7109375" style="15" customWidth="1"/>
    <col min="243" max="243" width="11.7109375" style="15" bestFit="1" customWidth="1"/>
    <col min="244" max="246" width="9.140625" style="15"/>
    <col min="247" max="247" width="8" style="15" bestFit="1" customWidth="1"/>
    <col min="248" max="255" width="9.140625" style="15"/>
    <col min="256" max="256" width="18.28515625" style="15" customWidth="1"/>
    <col min="257" max="258" width="21" style="15" customWidth="1"/>
    <col min="259" max="495" width="9.140625" style="15"/>
    <col min="496" max="496" width="7.5703125" style="15" customWidth="1"/>
    <col min="497" max="497" width="9.140625" style="15"/>
    <col min="498" max="498" width="9.7109375" style="15" customWidth="1"/>
    <col min="499" max="499" width="11.7109375" style="15" bestFit="1" customWidth="1"/>
    <col min="500" max="502" width="9.140625" style="15"/>
    <col min="503" max="503" width="8" style="15" bestFit="1" customWidth="1"/>
    <col min="504" max="511" width="9.140625" style="15"/>
    <col min="512" max="512" width="18.28515625" style="15" customWidth="1"/>
    <col min="513" max="514" width="21" style="15" customWidth="1"/>
    <col min="515" max="751" width="9.140625" style="15"/>
    <col min="752" max="752" width="7.5703125" style="15" customWidth="1"/>
    <col min="753" max="753" width="9.140625" style="15"/>
    <col min="754" max="754" width="9.7109375" style="15" customWidth="1"/>
    <col min="755" max="755" width="11.7109375" style="15" bestFit="1" customWidth="1"/>
    <col min="756" max="758" width="9.140625" style="15"/>
    <col min="759" max="759" width="8" style="15" bestFit="1" customWidth="1"/>
    <col min="760" max="767" width="9.140625" style="15"/>
    <col min="768" max="768" width="18.28515625" style="15" customWidth="1"/>
    <col min="769" max="770" width="21" style="15" customWidth="1"/>
    <col min="771" max="1007" width="9.140625" style="15"/>
    <col min="1008" max="1008" width="7.5703125" style="15" customWidth="1"/>
    <col min="1009" max="1009" width="9.140625" style="15"/>
    <col min="1010" max="1010" width="9.7109375" style="15" customWidth="1"/>
    <col min="1011" max="1011" width="11.7109375" style="15" bestFit="1" customWidth="1"/>
    <col min="1012" max="1014" width="9.140625" style="15"/>
    <col min="1015" max="1015" width="8" style="15" bestFit="1" customWidth="1"/>
    <col min="1016" max="1023" width="9.140625" style="15"/>
    <col min="1024" max="1024" width="18.28515625" style="15" customWidth="1"/>
    <col min="1025" max="1026" width="21" style="15" customWidth="1"/>
    <col min="1027" max="1263" width="9.140625" style="15"/>
    <col min="1264" max="1264" width="7.5703125" style="15" customWidth="1"/>
    <col min="1265" max="1265" width="9.140625" style="15"/>
    <col min="1266" max="1266" width="9.7109375" style="15" customWidth="1"/>
    <col min="1267" max="1267" width="11.7109375" style="15" bestFit="1" customWidth="1"/>
    <col min="1268" max="1270" width="9.140625" style="15"/>
    <col min="1271" max="1271" width="8" style="15" bestFit="1" customWidth="1"/>
    <col min="1272" max="1279" width="9.140625" style="15"/>
    <col min="1280" max="1280" width="18.28515625" style="15" customWidth="1"/>
    <col min="1281" max="1282" width="21" style="15" customWidth="1"/>
    <col min="1283" max="1519" width="9.140625" style="15"/>
    <col min="1520" max="1520" width="7.5703125" style="15" customWidth="1"/>
    <col min="1521" max="1521" width="9.140625" style="15"/>
    <col min="1522" max="1522" width="9.7109375" style="15" customWidth="1"/>
    <col min="1523" max="1523" width="11.7109375" style="15" bestFit="1" customWidth="1"/>
    <col min="1524" max="1526" width="9.140625" style="15"/>
    <col min="1527" max="1527" width="8" style="15" bestFit="1" customWidth="1"/>
    <col min="1528" max="1535" width="9.140625" style="15"/>
    <col min="1536" max="1536" width="18.28515625" style="15" customWidth="1"/>
    <col min="1537" max="1538" width="21" style="15" customWidth="1"/>
    <col min="1539" max="1775" width="9.140625" style="15"/>
    <col min="1776" max="1776" width="7.5703125" style="15" customWidth="1"/>
    <col min="1777" max="1777" width="9.140625" style="15"/>
    <col min="1778" max="1778" width="9.7109375" style="15" customWidth="1"/>
    <col min="1779" max="1779" width="11.7109375" style="15" bestFit="1" customWidth="1"/>
    <col min="1780" max="1782" width="9.140625" style="15"/>
    <col min="1783" max="1783" width="8" style="15" bestFit="1" customWidth="1"/>
    <col min="1784" max="1791" width="9.140625" style="15"/>
    <col min="1792" max="1792" width="18.28515625" style="15" customWidth="1"/>
    <col min="1793" max="1794" width="21" style="15" customWidth="1"/>
    <col min="1795" max="2031" width="9.140625" style="15"/>
    <col min="2032" max="2032" width="7.5703125" style="15" customWidth="1"/>
    <col min="2033" max="2033" width="9.140625" style="15"/>
    <col min="2034" max="2034" width="9.7109375" style="15" customWidth="1"/>
    <col min="2035" max="2035" width="11.7109375" style="15" bestFit="1" customWidth="1"/>
    <col min="2036" max="2038" width="9.140625" style="15"/>
    <col min="2039" max="2039" width="8" style="15" bestFit="1" customWidth="1"/>
    <col min="2040" max="2047" width="9.140625" style="15"/>
    <col min="2048" max="2048" width="18.28515625" style="15" customWidth="1"/>
    <col min="2049" max="2050" width="21" style="15" customWidth="1"/>
    <col min="2051" max="2287" width="9.140625" style="15"/>
    <col min="2288" max="2288" width="7.5703125" style="15" customWidth="1"/>
    <col min="2289" max="2289" width="9.140625" style="15"/>
    <col min="2290" max="2290" width="9.7109375" style="15" customWidth="1"/>
    <col min="2291" max="2291" width="11.7109375" style="15" bestFit="1" customWidth="1"/>
    <col min="2292" max="2294" width="9.140625" style="15"/>
    <col min="2295" max="2295" width="8" style="15" bestFit="1" customWidth="1"/>
    <col min="2296" max="2303" width="9.140625" style="15"/>
    <col min="2304" max="2304" width="18.28515625" style="15" customWidth="1"/>
    <col min="2305" max="2306" width="21" style="15" customWidth="1"/>
    <col min="2307" max="2543" width="9.140625" style="15"/>
    <col min="2544" max="2544" width="7.5703125" style="15" customWidth="1"/>
    <col min="2545" max="2545" width="9.140625" style="15"/>
    <col min="2546" max="2546" width="9.7109375" style="15" customWidth="1"/>
    <col min="2547" max="2547" width="11.7109375" style="15" bestFit="1" customWidth="1"/>
    <col min="2548" max="2550" width="9.140625" style="15"/>
    <col min="2551" max="2551" width="8" style="15" bestFit="1" customWidth="1"/>
    <col min="2552" max="2559" width="9.140625" style="15"/>
    <col min="2560" max="2560" width="18.28515625" style="15" customWidth="1"/>
    <col min="2561" max="2562" width="21" style="15" customWidth="1"/>
    <col min="2563" max="2799" width="9.140625" style="15"/>
    <col min="2800" max="2800" width="7.5703125" style="15" customWidth="1"/>
    <col min="2801" max="2801" width="9.140625" style="15"/>
    <col min="2802" max="2802" width="9.7109375" style="15" customWidth="1"/>
    <col min="2803" max="2803" width="11.7109375" style="15" bestFit="1" customWidth="1"/>
    <col min="2804" max="2806" width="9.140625" style="15"/>
    <col min="2807" max="2807" width="8" style="15" bestFit="1" customWidth="1"/>
    <col min="2808" max="2815" width="9.140625" style="15"/>
    <col min="2816" max="2816" width="18.28515625" style="15" customWidth="1"/>
    <col min="2817" max="2818" width="21" style="15" customWidth="1"/>
    <col min="2819" max="3055" width="9.140625" style="15"/>
    <col min="3056" max="3056" width="7.5703125" style="15" customWidth="1"/>
    <col min="3057" max="3057" width="9.140625" style="15"/>
    <col min="3058" max="3058" width="9.7109375" style="15" customWidth="1"/>
    <col min="3059" max="3059" width="11.7109375" style="15" bestFit="1" customWidth="1"/>
    <col min="3060" max="3062" width="9.140625" style="15"/>
    <col min="3063" max="3063" width="8" style="15" bestFit="1" customWidth="1"/>
    <col min="3064" max="3071" width="9.140625" style="15"/>
    <col min="3072" max="3072" width="18.28515625" style="15" customWidth="1"/>
    <col min="3073" max="3074" width="21" style="15" customWidth="1"/>
    <col min="3075" max="3311" width="9.140625" style="15"/>
    <col min="3312" max="3312" width="7.5703125" style="15" customWidth="1"/>
    <col min="3313" max="3313" width="9.140625" style="15"/>
    <col min="3314" max="3314" width="9.7109375" style="15" customWidth="1"/>
    <col min="3315" max="3315" width="11.7109375" style="15" bestFit="1" customWidth="1"/>
    <col min="3316" max="3318" width="9.140625" style="15"/>
    <col min="3319" max="3319" width="8" style="15" bestFit="1" customWidth="1"/>
    <col min="3320" max="3327" width="9.140625" style="15"/>
    <col min="3328" max="3328" width="18.28515625" style="15" customWidth="1"/>
    <col min="3329" max="3330" width="21" style="15" customWidth="1"/>
    <col min="3331" max="3567" width="9.140625" style="15"/>
    <col min="3568" max="3568" width="7.5703125" style="15" customWidth="1"/>
    <col min="3569" max="3569" width="9.140625" style="15"/>
    <col min="3570" max="3570" width="9.7109375" style="15" customWidth="1"/>
    <col min="3571" max="3571" width="11.7109375" style="15" bestFit="1" customWidth="1"/>
    <col min="3572" max="3574" width="9.140625" style="15"/>
    <col min="3575" max="3575" width="8" style="15" bestFit="1" customWidth="1"/>
    <col min="3576" max="3583" width="9.140625" style="15"/>
    <col min="3584" max="3584" width="18.28515625" style="15" customWidth="1"/>
    <col min="3585" max="3586" width="21" style="15" customWidth="1"/>
    <col min="3587" max="3823" width="9.140625" style="15"/>
    <col min="3824" max="3824" width="7.5703125" style="15" customWidth="1"/>
    <col min="3825" max="3825" width="9.140625" style="15"/>
    <col min="3826" max="3826" width="9.7109375" style="15" customWidth="1"/>
    <col min="3827" max="3827" width="11.7109375" style="15" bestFit="1" customWidth="1"/>
    <col min="3828" max="3830" width="9.140625" style="15"/>
    <col min="3831" max="3831" width="8" style="15" bestFit="1" customWidth="1"/>
    <col min="3832" max="3839" width="9.140625" style="15"/>
    <col min="3840" max="3840" width="18.28515625" style="15" customWidth="1"/>
    <col min="3841" max="3842" width="21" style="15" customWidth="1"/>
    <col min="3843" max="4079" width="9.140625" style="15"/>
    <col min="4080" max="4080" width="7.5703125" style="15" customWidth="1"/>
    <col min="4081" max="4081" width="9.140625" style="15"/>
    <col min="4082" max="4082" width="9.7109375" style="15" customWidth="1"/>
    <col min="4083" max="4083" width="11.7109375" style="15" bestFit="1" customWidth="1"/>
    <col min="4084" max="4086" width="9.140625" style="15"/>
    <col min="4087" max="4087" width="8" style="15" bestFit="1" customWidth="1"/>
    <col min="4088" max="4095" width="9.140625" style="15"/>
    <col min="4096" max="4096" width="18.28515625" style="15" customWidth="1"/>
    <col min="4097" max="4098" width="21" style="15" customWidth="1"/>
    <col min="4099" max="4335" width="9.140625" style="15"/>
    <col min="4336" max="4336" width="7.5703125" style="15" customWidth="1"/>
    <col min="4337" max="4337" width="9.140625" style="15"/>
    <col min="4338" max="4338" width="9.7109375" style="15" customWidth="1"/>
    <col min="4339" max="4339" width="11.7109375" style="15" bestFit="1" customWidth="1"/>
    <col min="4340" max="4342" width="9.140625" style="15"/>
    <col min="4343" max="4343" width="8" style="15" bestFit="1" customWidth="1"/>
    <col min="4344" max="4351" width="9.140625" style="15"/>
    <col min="4352" max="4352" width="18.28515625" style="15" customWidth="1"/>
    <col min="4353" max="4354" width="21" style="15" customWidth="1"/>
    <col min="4355" max="4591" width="9.140625" style="15"/>
    <col min="4592" max="4592" width="7.5703125" style="15" customWidth="1"/>
    <col min="4593" max="4593" width="9.140625" style="15"/>
    <col min="4594" max="4594" width="9.7109375" style="15" customWidth="1"/>
    <col min="4595" max="4595" width="11.7109375" style="15" bestFit="1" customWidth="1"/>
    <col min="4596" max="4598" width="9.140625" style="15"/>
    <col min="4599" max="4599" width="8" style="15" bestFit="1" customWidth="1"/>
    <col min="4600" max="4607" width="9.140625" style="15"/>
    <col min="4608" max="4608" width="18.28515625" style="15" customWidth="1"/>
    <col min="4609" max="4610" width="21" style="15" customWidth="1"/>
    <col min="4611" max="4847" width="9.140625" style="15"/>
    <col min="4848" max="4848" width="7.5703125" style="15" customWidth="1"/>
    <col min="4849" max="4849" width="9.140625" style="15"/>
    <col min="4850" max="4850" width="9.7109375" style="15" customWidth="1"/>
    <col min="4851" max="4851" width="11.7109375" style="15" bestFit="1" customWidth="1"/>
    <col min="4852" max="4854" width="9.140625" style="15"/>
    <col min="4855" max="4855" width="8" style="15" bestFit="1" customWidth="1"/>
    <col min="4856" max="4863" width="9.140625" style="15"/>
    <col min="4864" max="4864" width="18.28515625" style="15" customWidth="1"/>
    <col min="4865" max="4866" width="21" style="15" customWidth="1"/>
    <col min="4867" max="5103" width="9.140625" style="15"/>
    <col min="5104" max="5104" width="7.5703125" style="15" customWidth="1"/>
    <col min="5105" max="5105" width="9.140625" style="15"/>
    <col min="5106" max="5106" width="9.7109375" style="15" customWidth="1"/>
    <col min="5107" max="5107" width="11.7109375" style="15" bestFit="1" customWidth="1"/>
    <col min="5108" max="5110" width="9.140625" style="15"/>
    <col min="5111" max="5111" width="8" style="15" bestFit="1" customWidth="1"/>
    <col min="5112" max="5119" width="9.140625" style="15"/>
    <col min="5120" max="5120" width="18.28515625" style="15" customWidth="1"/>
    <col min="5121" max="5122" width="21" style="15" customWidth="1"/>
    <col min="5123" max="5359" width="9.140625" style="15"/>
    <col min="5360" max="5360" width="7.5703125" style="15" customWidth="1"/>
    <col min="5361" max="5361" width="9.140625" style="15"/>
    <col min="5362" max="5362" width="9.7109375" style="15" customWidth="1"/>
    <col min="5363" max="5363" width="11.7109375" style="15" bestFit="1" customWidth="1"/>
    <col min="5364" max="5366" width="9.140625" style="15"/>
    <col min="5367" max="5367" width="8" style="15" bestFit="1" customWidth="1"/>
    <col min="5368" max="5375" width="9.140625" style="15"/>
    <col min="5376" max="5376" width="18.28515625" style="15" customWidth="1"/>
    <col min="5377" max="5378" width="21" style="15" customWidth="1"/>
    <col min="5379" max="5615" width="9.140625" style="15"/>
    <col min="5616" max="5616" width="7.5703125" style="15" customWidth="1"/>
    <col min="5617" max="5617" width="9.140625" style="15"/>
    <col min="5618" max="5618" width="9.7109375" style="15" customWidth="1"/>
    <col min="5619" max="5619" width="11.7109375" style="15" bestFit="1" customWidth="1"/>
    <col min="5620" max="5622" width="9.140625" style="15"/>
    <col min="5623" max="5623" width="8" style="15" bestFit="1" customWidth="1"/>
    <col min="5624" max="5631" width="9.140625" style="15"/>
    <col min="5632" max="5632" width="18.28515625" style="15" customWidth="1"/>
    <col min="5633" max="5634" width="21" style="15" customWidth="1"/>
    <col min="5635" max="5871" width="9.140625" style="15"/>
    <col min="5872" max="5872" width="7.5703125" style="15" customWidth="1"/>
    <col min="5873" max="5873" width="9.140625" style="15"/>
    <col min="5874" max="5874" width="9.7109375" style="15" customWidth="1"/>
    <col min="5875" max="5875" width="11.7109375" style="15" bestFit="1" customWidth="1"/>
    <col min="5876" max="5878" width="9.140625" style="15"/>
    <col min="5879" max="5879" width="8" style="15" bestFit="1" customWidth="1"/>
    <col min="5880" max="5887" width="9.140625" style="15"/>
    <col min="5888" max="5888" width="18.28515625" style="15" customWidth="1"/>
    <col min="5889" max="5890" width="21" style="15" customWidth="1"/>
    <col min="5891" max="6127" width="9.140625" style="15"/>
    <col min="6128" max="6128" width="7.5703125" style="15" customWidth="1"/>
    <col min="6129" max="6129" width="9.140625" style="15"/>
    <col min="6130" max="6130" width="9.7109375" style="15" customWidth="1"/>
    <col min="6131" max="6131" width="11.7109375" style="15" bestFit="1" customWidth="1"/>
    <col min="6132" max="6134" width="9.140625" style="15"/>
    <col min="6135" max="6135" width="8" style="15" bestFit="1" customWidth="1"/>
    <col min="6136" max="6143" width="9.140625" style="15"/>
    <col min="6144" max="6144" width="18.28515625" style="15" customWidth="1"/>
    <col min="6145" max="6146" width="21" style="15" customWidth="1"/>
    <col min="6147" max="6383" width="9.140625" style="15"/>
    <col min="6384" max="6384" width="7.5703125" style="15" customWidth="1"/>
    <col min="6385" max="6385" width="9.140625" style="15"/>
    <col min="6386" max="6386" width="9.7109375" style="15" customWidth="1"/>
    <col min="6387" max="6387" width="11.7109375" style="15" bestFit="1" customWidth="1"/>
    <col min="6388" max="6390" width="9.140625" style="15"/>
    <col min="6391" max="6391" width="8" style="15" bestFit="1" customWidth="1"/>
    <col min="6392" max="6399" width="9.140625" style="15"/>
    <col min="6400" max="6400" width="18.28515625" style="15" customWidth="1"/>
    <col min="6401" max="6402" width="21" style="15" customWidth="1"/>
    <col min="6403" max="6639" width="9.140625" style="15"/>
    <col min="6640" max="6640" width="7.5703125" style="15" customWidth="1"/>
    <col min="6641" max="6641" width="9.140625" style="15"/>
    <col min="6642" max="6642" width="9.7109375" style="15" customWidth="1"/>
    <col min="6643" max="6643" width="11.7109375" style="15" bestFit="1" customWidth="1"/>
    <col min="6644" max="6646" width="9.140625" style="15"/>
    <col min="6647" max="6647" width="8" style="15" bestFit="1" customWidth="1"/>
    <col min="6648" max="6655" width="9.140625" style="15"/>
    <col min="6656" max="6656" width="18.28515625" style="15" customWidth="1"/>
    <col min="6657" max="6658" width="21" style="15" customWidth="1"/>
    <col min="6659" max="6895" width="9.140625" style="15"/>
    <col min="6896" max="6896" width="7.5703125" style="15" customWidth="1"/>
    <col min="6897" max="6897" width="9.140625" style="15"/>
    <col min="6898" max="6898" width="9.7109375" style="15" customWidth="1"/>
    <col min="6899" max="6899" width="11.7109375" style="15" bestFit="1" customWidth="1"/>
    <col min="6900" max="6902" width="9.140625" style="15"/>
    <col min="6903" max="6903" width="8" style="15" bestFit="1" customWidth="1"/>
    <col min="6904" max="6911" width="9.140625" style="15"/>
    <col min="6912" max="6912" width="18.28515625" style="15" customWidth="1"/>
    <col min="6913" max="6914" width="21" style="15" customWidth="1"/>
    <col min="6915" max="7151" width="9.140625" style="15"/>
    <col min="7152" max="7152" width="7.5703125" style="15" customWidth="1"/>
    <col min="7153" max="7153" width="9.140625" style="15"/>
    <col min="7154" max="7154" width="9.7109375" style="15" customWidth="1"/>
    <col min="7155" max="7155" width="11.7109375" style="15" bestFit="1" customWidth="1"/>
    <col min="7156" max="7158" width="9.140625" style="15"/>
    <col min="7159" max="7159" width="8" style="15" bestFit="1" customWidth="1"/>
    <col min="7160" max="7167" width="9.140625" style="15"/>
    <col min="7168" max="7168" width="18.28515625" style="15" customWidth="1"/>
    <col min="7169" max="7170" width="21" style="15" customWidth="1"/>
    <col min="7171" max="7407" width="9.140625" style="15"/>
    <col min="7408" max="7408" width="7.5703125" style="15" customWidth="1"/>
    <col min="7409" max="7409" width="9.140625" style="15"/>
    <col min="7410" max="7410" width="9.7109375" style="15" customWidth="1"/>
    <col min="7411" max="7411" width="11.7109375" style="15" bestFit="1" customWidth="1"/>
    <col min="7412" max="7414" width="9.140625" style="15"/>
    <col min="7415" max="7415" width="8" style="15" bestFit="1" customWidth="1"/>
    <col min="7416" max="7423" width="9.140625" style="15"/>
    <col min="7424" max="7424" width="18.28515625" style="15" customWidth="1"/>
    <col min="7425" max="7426" width="21" style="15" customWidth="1"/>
    <col min="7427" max="7663" width="9.140625" style="15"/>
    <col min="7664" max="7664" width="7.5703125" style="15" customWidth="1"/>
    <col min="7665" max="7665" width="9.140625" style="15"/>
    <col min="7666" max="7666" width="9.7109375" style="15" customWidth="1"/>
    <col min="7667" max="7667" width="11.7109375" style="15" bestFit="1" customWidth="1"/>
    <col min="7668" max="7670" width="9.140625" style="15"/>
    <col min="7671" max="7671" width="8" style="15" bestFit="1" customWidth="1"/>
    <col min="7672" max="7679" width="9.140625" style="15"/>
    <col min="7680" max="7680" width="18.28515625" style="15" customWidth="1"/>
    <col min="7681" max="7682" width="21" style="15" customWidth="1"/>
    <col min="7683" max="7919" width="9.140625" style="15"/>
    <col min="7920" max="7920" width="7.5703125" style="15" customWidth="1"/>
    <col min="7921" max="7921" width="9.140625" style="15"/>
    <col min="7922" max="7922" width="9.7109375" style="15" customWidth="1"/>
    <col min="7923" max="7923" width="11.7109375" style="15" bestFit="1" customWidth="1"/>
    <col min="7924" max="7926" width="9.140625" style="15"/>
    <col min="7927" max="7927" width="8" style="15" bestFit="1" customWidth="1"/>
    <col min="7928" max="7935" width="9.140625" style="15"/>
    <col min="7936" max="7936" width="18.28515625" style="15" customWidth="1"/>
    <col min="7937" max="7938" width="21" style="15" customWidth="1"/>
    <col min="7939" max="8175" width="9.140625" style="15"/>
    <col min="8176" max="8176" width="7.5703125" style="15" customWidth="1"/>
    <col min="8177" max="8177" width="9.140625" style="15"/>
    <col min="8178" max="8178" width="9.7109375" style="15" customWidth="1"/>
    <col min="8179" max="8179" width="11.7109375" style="15" bestFit="1" customWidth="1"/>
    <col min="8180" max="8182" width="9.140625" style="15"/>
    <col min="8183" max="8183" width="8" style="15" bestFit="1" customWidth="1"/>
    <col min="8184" max="8191" width="9.140625" style="15"/>
    <col min="8192" max="8192" width="18.28515625" style="15" customWidth="1"/>
    <col min="8193" max="8194" width="21" style="15" customWidth="1"/>
    <col min="8195" max="8431" width="9.140625" style="15"/>
    <col min="8432" max="8432" width="7.5703125" style="15" customWidth="1"/>
    <col min="8433" max="8433" width="9.140625" style="15"/>
    <col min="8434" max="8434" width="9.7109375" style="15" customWidth="1"/>
    <col min="8435" max="8435" width="11.7109375" style="15" bestFit="1" customWidth="1"/>
    <col min="8436" max="8438" width="9.140625" style="15"/>
    <col min="8439" max="8439" width="8" style="15" bestFit="1" customWidth="1"/>
    <col min="8440" max="8447" width="9.140625" style="15"/>
    <col min="8448" max="8448" width="18.28515625" style="15" customWidth="1"/>
    <col min="8449" max="8450" width="21" style="15" customWidth="1"/>
    <col min="8451" max="8687" width="9.140625" style="15"/>
    <col min="8688" max="8688" width="7.5703125" style="15" customWidth="1"/>
    <col min="8689" max="8689" width="9.140625" style="15"/>
    <col min="8690" max="8690" width="9.7109375" style="15" customWidth="1"/>
    <col min="8691" max="8691" width="11.7109375" style="15" bestFit="1" customWidth="1"/>
    <col min="8692" max="8694" width="9.140625" style="15"/>
    <col min="8695" max="8695" width="8" style="15" bestFit="1" customWidth="1"/>
    <col min="8696" max="8703" width="9.140625" style="15"/>
    <col min="8704" max="8704" width="18.28515625" style="15" customWidth="1"/>
    <col min="8705" max="8706" width="21" style="15" customWidth="1"/>
    <col min="8707" max="8943" width="9.140625" style="15"/>
    <col min="8944" max="8944" width="7.5703125" style="15" customWidth="1"/>
    <col min="8945" max="8945" width="9.140625" style="15"/>
    <col min="8946" max="8946" width="9.7109375" style="15" customWidth="1"/>
    <col min="8947" max="8947" width="11.7109375" style="15" bestFit="1" customWidth="1"/>
    <col min="8948" max="8950" width="9.140625" style="15"/>
    <col min="8951" max="8951" width="8" style="15" bestFit="1" customWidth="1"/>
    <col min="8952" max="8959" width="9.140625" style="15"/>
    <col min="8960" max="8960" width="18.28515625" style="15" customWidth="1"/>
    <col min="8961" max="8962" width="21" style="15" customWidth="1"/>
    <col min="8963" max="9199" width="9.140625" style="15"/>
    <col min="9200" max="9200" width="7.5703125" style="15" customWidth="1"/>
    <col min="9201" max="9201" width="9.140625" style="15"/>
    <col min="9202" max="9202" width="9.7109375" style="15" customWidth="1"/>
    <col min="9203" max="9203" width="11.7109375" style="15" bestFit="1" customWidth="1"/>
    <col min="9204" max="9206" width="9.140625" style="15"/>
    <col min="9207" max="9207" width="8" style="15" bestFit="1" customWidth="1"/>
    <col min="9208" max="9215" width="9.140625" style="15"/>
    <col min="9216" max="9216" width="18.28515625" style="15" customWidth="1"/>
    <col min="9217" max="9218" width="21" style="15" customWidth="1"/>
    <col min="9219" max="9455" width="9.140625" style="15"/>
    <col min="9456" max="9456" width="7.5703125" style="15" customWidth="1"/>
    <col min="9457" max="9457" width="9.140625" style="15"/>
    <col min="9458" max="9458" width="9.7109375" style="15" customWidth="1"/>
    <col min="9459" max="9459" width="11.7109375" style="15" bestFit="1" customWidth="1"/>
    <col min="9460" max="9462" width="9.140625" style="15"/>
    <col min="9463" max="9463" width="8" style="15" bestFit="1" customWidth="1"/>
    <col min="9464" max="9471" width="9.140625" style="15"/>
    <col min="9472" max="9472" width="18.28515625" style="15" customWidth="1"/>
    <col min="9473" max="9474" width="21" style="15" customWidth="1"/>
    <col min="9475" max="9711" width="9.140625" style="15"/>
    <col min="9712" max="9712" width="7.5703125" style="15" customWidth="1"/>
    <col min="9713" max="9713" width="9.140625" style="15"/>
    <col min="9714" max="9714" width="9.7109375" style="15" customWidth="1"/>
    <col min="9715" max="9715" width="11.7109375" style="15" bestFit="1" customWidth="1"/>
    <col min="9716" max="9718" width="9.140625" style="15"/>
    <col min="9719" max="9719" width="8" style="15" bestFit="1" customWidth="1"/>
    <col min="9720" max="9727" width="9.140625" style="15"/>
    <col min="9728" max="9728" width="18.28515625" style="15" customWidth="1"/>
    <col min="9729" max="9730" width="21" style="15" customWidth="1"/>
    <col min="9731" max="9967" width="9.140625" style="15"/>
    <col min="9968" max="9968" width="7.5703125" style="15" customWidth="1"/>
    <col min="9969" max="9969" width="9.140625" style="15"/>
    <col min="9970" max="9970" width="9.7109375" style="15" customWidth="1"/>
    <col min="9971" max="9971" width="11.7109375" style="15" bestFit="1" customWidth="1"/>
    <col min="9972" max="9974" width="9.140625" style="15"/>
    <col min="9975" max="9975" width="8" style="15" bestFit="1" customWidth="1"/>
    <col min="9976" max="9983" width="9.140625" style="15"/>
    <col min="9984" max="9984" width="18.28515625" style="15" customWidth="1"/>
    <col min="9985" max="9986" width="21" style="15" customWidth="1"/>
    <col min="9987" max="10223" width="9.140625" style="15"/>
    <col min="10224" max="10224" width="7.5703125" style="15" customWidth="1"/>
    <col min="10225" max="10225" width="9.140625" style="15"/>
    <col min="10226" max="10226" width="9.7109375" style="15" customWidth="1"/>
    <col min="10227" max="10227" width="11.7109375" style="15" bestFit="1" customWidth="1"/>
    <col min="10228" max="10230" width="9.140625" style="15"/>
    <col min="10231" max="10231" width="8" style="15" bestFit="1" customWidth="1"/>
    <col min="10232" max="10239" width="9.140625" style="15"/>
    <col min="10240" max="10240" width="18.28515625" style="15" customWidth="1"/>
    <col min="10241" max="10242" width="21" style="15" customWidth="1"/>
    <col min="10243" max="10479" width="9.140625" style="15"/>
    <col min="10480" max="10480" width="7.5703125" style="15" customWidth="1"/>
    <col min="10481" max="10481" width="9.140625" style="15"/>
    <col min="10482" max="10482" width="9.7109375" style="15" customWidth="1"/>
    <col min="10483" max="10483" width="11.7109375" style="15" bestFit="1" customWidth="1"/>
    <col min="10484" max="10486" width="9.140625" style="15"/>
    <col min="10487" max="10487" width="8" style="15" bestFit="1" customWidth="1"/>
    <col min="10488" max="10495" width="9.140625" style="15"/>
    <col min="10496" max="10496" width="18.28515625" style="15" customWidth="1"/>
    <col min="10497" max="10498" width="21" style="15" customWidth="1"/>
    <col min="10499" max="10735" width="9.140625" style="15"/>
    <col min="10736" max="10736" width="7.5703125" style="15" customWidth="1"/>
    <col min="10737" max="10737" width="9.140625" style="15"/>
    <col min="10738" max="10738" width="9.7109375" style="15" customWidth="1"/>
    <col min="10739" max="10739" width="11.7109375" style="15" bestFit="1" customWidth="1"/>
    <col min="10740" max="10742" width="9.140625" style="15"/>
    <col min="10743" max="10743" width="8" style="15" bestFit="1" customWidth="1"/>
    <col min="10744" max="10751" width="9.140625" style="15"/>
    <col min="10752" max="10752" width="18.28515625" style="15" customWidth="1"/>
    <col min="10753" max="10754" width="21" style="15" customWidth="1"/>
    <col min="10755" max="10991" width="9.140625" style="15"/>
    <col min="10992" max="10992" width="7.5703125" style="15" customWidth="1"/>
    <col min="10993" max="10993" width="9.140625" style="15"/>
    <col min="10994" max="10994" width="9.7109375" style="15" customWidth="1"/>
    <col min="10995" max="10995" width="11.7109375" style="15" bestFit="1" customWidth="1"/>
    <col min="10996" max="10998" width="9.140625" style="15"/>
    <col min="10999" max="10999" width="8" style="15" bestFit="1" customWidth="1"/>
    <col min="11000" max="11007" width="9.140625" style="15"/>
    <col min="11008" max="11008" width="18.28515625" style="15" customWidth="1"/>
    <col min="11009" max="11010" width="21" style="15" customWidth="1"/>
    <col min="11011" max="11247" width="9.140625" style="15"/>
    <col min="11248" max="11248" width="7.5703125" style="15" customWidth="1"/>
    <col min="11249" max="11249" width="9.140625" style="15"/>
    <col min="11250" max="11250" width="9.7109375" style="15" customWidth="1"/>
    <col min="11251" max="11251" width="11.7109375" style="15" bestFit="1" customWidth="1"/>
    <col min="11252" max="11254" width="9.140625" style="15"/>
    <col min="11255" max="11255" width="8" style="15" bestFit="1" customWidth="1"/>
    <col min="11256" max="11263" width="9.140625" style="15"/>
    <col min="11264" max="11264" width="18.28515625" style="15" customWidth="1"/>
    <col min="11265" max="11266" width="21" style="15" customWidth="1"/>
    <col min="11267" max="11503" width="9.140625" style="15"/>
    <col min="11504" max="11504" width="7.5703125" style="15" customWidth="1"/>
    <col min="11505" max="11505" width="9.140625" style="15"/>
    <col min="11506" max="11506" width="9.7109375" style="15" customWidth="1"/>
    <col min="11507" max="11507" width="11.7109375" style="15" bestFit="1" customWidth="1"/>
    <col min="11508" max="11510" width="9.140625" style="15"/>
    <col min="11511" max="11511" width="8" style="15" bestFit="1" customWidth="1"/>
    <col min="11512" max="11519" width="9.140625" style="15"/>
    <col min="11520" max="11520" width="18.28515625" style="15" customWidth="1"/>
    <col min="11521" max="11522" width="21" style="15" customWidth="1"/>
    <col min="11523" max="11759" width="9.140625" style="15"/>
    <col min="11760" max="11760" width="7.5703125" style="15" customWidth="1"/>
    <col min="11761" max="11761" width="9.140625" style="15"/>
    <col min="11762" max="11762" width="9.7109375" style="15" customWidth="1"/>
    <col min="11763" max="11763" width="11.7109375" style="15" bestFit="1" customWidth="1"/>
    <col min="11764" max="11766" width="9.140625" style="15"/>
    <col min="11767" max="11767" width="8" style="15" bestFit="1" customWidth="1"/>
    <col min="11768" max="11775" width="9.140625" style="15"/>
    <col min="11776" max="11776" width="18.28515625" style="15" customWidth="1"/>
    <col min="11777" max="11778" width="21" style="15" customWidth="1"/>
    <col min="11779" max="12015" width="9.140625" style="15"/>
    <col min="12016" max="12016" width="7.5703125" style="15" customWidth="1"/>
    <col min="12017" max="12017" width="9.140625" style="15"/>
    <col min="12018" max="12018" width="9.7109375" style="15" customWidth="1"/>
    <col min="12019" max="12019" width="11.7109375" style="15" bestFit="1" customWidth="1"/>
    <col min="12020" max="12022" width="9.140625" style="15"/>
    <col min="12023" max="12023" width="8" style="15" bestFit="1" customWidth="1"/>
    <col min="12024" max="12031" width="9.140625" style="15"/>
    <col min="12032" max="12032" width="18.28515625" style="15" customWidth="1"/>
    <col min="12033" max="12034" width="21" style="15" customWidth="1"/>
    <col min="12035" max="12271" width="9.140625" style="15"/>
    <col min="12272" max="12272" width="7.5703125" style="15" customWidth="1"/>
    <col min="12273" max="12273" width="9.140625" style="15"/>
    <col min="12274" max="12274" width="9.7109375" style="15" customWidth="1"/>
    <col min="12275" max="12275" width="11.7109375" style="15" bestFit="1" customWidth="1"/>
    <col min="12276" max="12278" width="9.140625" style="15"/>
    <col min="12279" max="12279" width="8" style="15" bestFit="1" customWidth="1"/>
    <col min="12280" max="12287" width="9.140625" style="15"/>
    <col min="12288" max="12288" width="18.28515625" style="15" customWidth="1"/>
    <col min="12289" max="12290" width="21" style="15" customWidth="1"/>
    <col min="12291" max="12527" width="9.140625" style="15"/>
    <col min="12528" max="12528" width="7.5703125" style="15" customWidth="1"/>
    <col min="12529" max="12529" width="9.140625" style="15"/>
    <col min="12530" max="12530" width="9.7109375" style="15" customWidth="1"/>
    <col min="12531" max="12531" width="11.7109375" style="15" bestFit="1" customWidth="1"/>
    <col min="12532" max="12534" width="9.140625" style="15"/>
    <col min="12535" max="12535" width="8" style="15" bestFit="1" customWidth="1"/>
    <col min="12536" max="12543" width="9.140625" style="15"/>
    <col min="12544" max="12544" width="18.28515625" style="15" customWidth="1"/>
    <col min="12545" max="12546" width="21" style="15" customWidth="1"/>
    <col min="12547" max="12783" width="9.140625" style="15"/>
    <col min="12784" max="12784" width="7.5703125" style="15" customWidth="1"/>
    <col min="12785" max="12785" width="9.140625" style="15"/>
    <col min="12786" max="12786" width="9.7109375" style="15" customWidth="1"/>
    <col min="12787" max="12787" width="11.7109375" style="15" bestFit="1" customWidth="1"/>
    <col min="12788" max="12790" width="9.140625" style="15"/>
    <col min="12791" max="12791" width="8" style="15" bestFit="1" customWidth="1"/>
    <col min="12792" max="12799" width="9.140625" style="15"/>
    <col min="12800" max="12800" width="18.28515625" style="15" customWidth="1"/>
    <col min="12801" max="12802" width="21" style="15" customWidth="1"/>
    <col min="12803" max="13039" width="9.140625" style="15"/>
    <col min="13040" max="13040" width="7.5703125" style="15" customWidth="1"/>
    <col min="13041" max="13041" width="9.140625" style="15"/>
    <col min="13042" max="13042" width="9.7109375" style="15" customWidth="1"/>
    <col min="13043" max="13043" width="11.7109375" style="15" bestFit="1" customWidth="1"/>
    <col min="13044" max="13046" width="9.140625" style="15"/>
    <col min="13047" max="13047" width="8" style="15" bestFit="1" customWidth="1"/>
    <col min="13048" max="13055" width="9.140625" style="15"/>
    <col min="13056" max="13056" width="18.28515625" style="15" customWidth="1"/>
    <col min="13057" max="13058" width="21" style="15" customWidth="1"/>
    <col min="13059" max="13295" width="9.140625" style="15"/>
    <col min="13296" max="13296" width="7.5703125" style="15" customWidth="1"/>
    <col min="13297" max="13297" width="9.140625" style="15"/>
    <col min="13298" max="13298" width="9.7109375" style="15" customWidth="1"/>
    <col min="13299" max="13299" width="11.7109375" style="15" bestFit="1" customWidth="1"/>
    <col min="13300" max="13302" width="9.140625" style="15"/>
    <col min="13303" max="13303" width="8" style="15" bestFit="1" customWidth="1"/>
    <col min="13304" max="13311" width="9.140625" style="15"/>
    <col min="13312" max="13312" width="18.28515625" style="15" customWidth="1"/>
    <col min="13313" max="13314" width="21" style="15" customWidth="1"/>
    <col min="13315" max="13551" width="9.140625" style="15"/>
    <col min="13552" max="13552" width="7.5703125" style="15" customWidth="1"/>
    <col min="13553" max="13553" width="9.140625" style="15"/>
    <col min="13554" max="13554" width="9.7109375" style="15" customWidth="1"/>
    <col min="13555" max="13555" width="11.7109375" style="15" bestFit="1" customWidth="1"/>
    <col min="13556" max="13558" width="9.140625" style="15"/>
    <col min="13559" max="13559" width="8" style="15" bestFit="1" customWidth="1"/>
    <col min="13560" max="13567" width="9.140625" style="15"/>
    <col min="13568" max="13568" width="18.28515625" style="15" customWidth="1"/>
    <col min="13569" max="13570" width="21" style="15" customWidth="1"/>
    <col min="13571" max="13807" width="9.140625" style="15"/>
    <col min="13808" max="13808" width="7.5703125" style="15" customWidth="1"/>
    <col min="13809" max="13809" width="9.140625" style="15"/>
    <col min="13810" max="13810" width="9.7109375" style="15" customWidth="1"/>
    <col min="13811" max="13811" width="11.7109375" style="15" bestFit="1" customWidth="1"/>
    <col min="13812" max="13814" width="9.140625" style="15"/>
    <col min="13815" max="13815" width="8" style="15" bestFit="1" customWidth="1"/>
    <col min="13816" max="13823" width="9.140625" style="15"/>
    <col min="13824" max="13824" width="18.28515625" style="15" customWidth="1"/>
    <col min="13825" max="13826" width="21" style="15" customWidth="1"/>
    <col min="13827" max="14063" width="9.140625" style="15"/>
    <col min="14064" max="14064" width="7.5703125" style="15" customWidth="1"/>
    <col min="14065" max="14065" width="9.140625" style="15"/>
    <col min="14066" max="14066" width="9.7109375" style="15" customWidth="1"/>
    <col min="14067" max="14067" width="11.7109375" style="15" bestFit="1" customWidth="1"/>
    <col min="14068" max="14070" width="9.140625" style="15"/>
    <col min="14071" max="14071" width="8" style="15" bestFit="1" customWidth="1"/>
    <col min="14072" max="14079" width="9.140625" style="15"/>
    <col min="14080" max="14080" width="18.28515625" style="15" customWidth="1"/>
    <col min="14081" max="14082" width="21" style="15" customWidth="1"/>
    <col min="14083" max="14319" width="9.140625" style="15"/>
    <col min="14320" max="14320" width="7.5703125" style="15" customWidth="1"/>
    <col min="14321" max="14321" width="9.140625" style="15"/>
    <col min="14322" max="14322" width="9.7109375" style="15" customWidth="1"/>
    <col min="14323" max="14323" width="11.7109375" style="15" bestFit="1" customWidth="1"/>
    <col min="14324" max="14326" width="9.140625" style="15"/>
    <col min="14327" max="14327" width="8" style="15" bestFit="1" customWidth="1"/>
    <col min="14328" max="14335" width="9.140625" style="15"/>
    <col min="14336" max="14336" width="18.28515625" style="15" customWidth="1"/>
    <col min="14337" max="14338" width="21" style="15" customWidth="1"/>
    <col min="14339" max="14575" width="9.140625" style="15"/>
    <col min="14576" max="14576" width="7.5703125" style="15" customWidth="1"/>
    <col min="14577" max="14577" width="9.140625" style="15"/>
    <col min="14578" max="14578" width="9.7109375" style="15" customWidth="1"/>
    <col min="14579" max="14579" width="11.7109375" style="15" bestFit="1" customWidth="1"/>
    <col min="14580" max="14582" width="9.140625" style="15"/>
    <col min="14583" max="14583" width="8" style="15" bestFit="1" customWidth="1"/>
    <col min="14584" max="14591" width="9.140625" style="15"/>
    <col min="14592" max="14592" width="18.28515625" style="15" customWidth="1"/>
    <col min="14593" max="14594" width="21" style="15" customWidth="1"/>
    <col min="14595" max="14831" width="9.140625" style="15"/>
    <col min="14832" max="14832" width="7.5703125" style="15" customWidth="1"/>
    <col min="14833" max="14833" width="9.140625" style="15"/>
    <col min="14834" max="14834" width="9.7109375" style="15" customWidth="1"/>
    <col min="14835" max="14835" width="11.7109375" style="15" bestFit="1" customWidth="1"/>
    <col min="14836" max="14838" width="9.140625" style="15"/>
    <col min="14839" max="14839" width="8" style="15" bestFit="1" customWidth="1"/>
    <col min="14840" max="14847" width="9.140625" style="15"/>
    <col min="14848" max="14848" width="18.28515625" style="15" customWidth="1"/>
    <col min="14849" max="14850" width="21" style="15" customWidth="1"/>
    <col min="14851" max="15087" width="9.140625" style="15"/>
    <col min="15088" max="15088" width="7.5703125" style="15" customWidth="1"/>
    <col min="15089" max="15089" width="9.140625" style="15"/>
    <col min="15090" max="15090" width="9.7109375" style="15" customWidth="1"/>
    <col min="15091" max="15091" width="11.7109375" style="15" bestFit="1" customWidth="1"/>
    <col min="15092" max="15094" width="9.140625" style="15"/>
    <col min="15095" max="15095" width="8" style="15" bestFit="1" customWidth="1"/>
    <col min="15096" max="15103" width="9.140625" style="15"/>
    <col min="15104" max="15104" width="18.28515625" style="15" customWidth="1"/>
    <col min="15105" max="15106" width="21" style="15" customWidth="1"/>
    <col min="15107" max="15343" width="9.140625" style="15"/>
    <col min="15344" max="15344" width="7.5703125" style="15" customWidth="1"/>
    <col min="15345" max="15345" width="9.140625" style="15"/>
    <col min="15346" max="15346" width="9.7109375" style="15" customWidth="1"/>
    <col min="15347" max="15347" width="11.7109375" style="15" bestFit="1" customWidth="1"/>
    <col min="15348" max="15350" width="9.140625" style="15"/>
    <col min="15351" max="15351" width="8" style="15" bestFit="1" customWidth="1"/>
    <col min="15352" max="15359" width="9.140625" style="15"/>
    <col min="15360" max="15360" width="18.28515625" style="15" customWidth="1"/>
    <col min="15361" max="15362" width="21" style="15" customWidth="1"/>
    <col min="15363" max="15599" width="9.140625" style="15"/>
    <col min="15600" max="15600" width="7.5703125" style="15" customWidth="1"/>
    <col min="15601" max="15601" width="9.140625" style="15"/>
    <col min="15602" max="15602" width="9.7109375" style="15" customWidth="1"/>
    <col min="15603" max="15603" width="11.7109375" style="15" bestFit="1" customWidth="1"/>
    <col min="15604" max="15606" width="9.140625" style="15"/>
    <col min="15607" max="15607" width="8" style="15" bestFit="1" customWidth="1"/>
    <col min="15608" max="15615" width="9.140625" style="15"/>
    <col min="15616" max="15616" width="18.28515625" style="15" customWidth="1"/>
    <col min="15617" max="15618" width="21" style="15" customWidth="1"/>
    <col min="15619" max="15855" width="9.140625" style="15"/>
    <col min="15856" max="15856" width="7.5703125" style="15" customWidth="1"/>
    <col min="15857" max="15857" width="9.140625" style="15"/>
    <col min="15858" max="15858" width="9.7109375" style="15" customWidth="1"/>
    <col min="15859" max="15859" width="11.7109375" style="15" bestFit="1" customWidth="1"/>
    <col min="15860" max="15862" width="9.140625" style="15"/>
    <col min="15863" max="15863" width="8" style="15" bestFit="1" customWidth="1"/>
    <col min="15864" max="15871" width="9.140625" style="15"/>
    <col min="15872" max="15872" width="18.28515625" style="15" customWidth="1"/>
    <col min="15873" max="15874" width="21" style="15" customWidth="1"/>
    <col min="15875" max="16111" width="9.140625" style="15"/>
    <col min="16112" max="16112" width="7.5703125" style="15" customWidth="1"/>
    <col min="16113" max="16113" width="9.140625" style="15"/>
    <col min="16114" max="16114" width="9.7109375" style="15" customWidth="1"/>
    <col min="16115" max="16115" width="11.7109375" style="15" bestFit="1" customWidth="1"/>
    <col min="16116" max="16118" width="9.140625" style="15"/>
    <col min="16119" max="16119" width="8" style="15" bestFit="1" customWidth="1"/>
    <col min="16120" max="16127" width="9.140625" style="15"/>
    <col min="16128" max="16128" width="18.28515625" style="15" customWidth="1"/>
    <col min="16129" max="16130" width="21" style="15" customWidth="1"/>
    <col min="16131" max="16384" width="9.140625" style="15"/>
  </cols>
  <sheetData>
    <row r="1" spans="1:13" ht="17.25" thickBot="1" x14ac:dyDescent="0.3"/>
    <row r="2" spans="1:13" ht="21.75" customHeight="1" thickBot="1" x14ac:dyDescent="0.3">
      <c r="A2" s="198" t="s">
        <v>55</v>
      </c>
      <c r="B2" s="199"/>
      <c r="C2" s="199"/>
      <c r="D2" s="199"/>
      <c r="E2" s="199"/>
      <c r="F2" s="199"/>
      <c r="G2" s="199"/>
      <c r="H2" s="199"/>
      <c r="I2" s="199"/>
      <c r="J2" s="199"/>
      <c r="K2" s="200"/>
      <c r="L2" s="27"/>
      <c r="M2" s="18"/>
    </row>
    <row r="3" spans="1:13" ht="36" customHeight="1" x14ac:dyDescent="0.25">
      <c r="A3" s="35" t="s">
        <v>0</v>
      </c>
      <c r="B3" s="33" t="s">
        <v>37</v>
      </c>
      <c r="C3" s="33" t="s">
        <v>38</v>
      </c>
      <c r="D3" s="33" t="s">
        <v>39</v>
      </c>
      <c r="E3" s="33" t="s">
        <v>40</v>
      </c>
      <c r="F3" s="33" t="s">
        <v>41</v>
      </c>
      <c r="G3" s="33" t="s">
        <v>42</v>
      </c>
      <c r="H3" s="33" t="s">
        <v>43</v>
      </c>
      <c r="I3" s="34" t="s">
        <v>51</v>
      </c>
      <c r="J3" s="34" t="s">
        <v>52</v>
      </c>
      <c r="K3" s="36" t="s">
        <v>53</v>
      </c>
      <c r="L3" s="27"/>
      <c r="M3" s="18"/>
    </row>
    <row r="4" spans="1:13" x14ac:dyDescent="0.25">
      <c r="A4" s="37" t="s">
        <v>1</v>
      </c>
      <c r="B4" s="26">
        <v>12</v>
      </c>
      <c r="C4" s="26">
        <v>15</v>
      </c>
      <c r="D4" s="26">
        <v>20</v>
      </c>
      <c r="E4" s="26">
        <v>1.6</v>
      </c>
      <c r="F4" s="26">
        <v>1.1000000000000001</v>
      </c>
      <c r="G4" s="26">
        <v>2</v>
      </c>
      <c r="H4" s="26">
        <v>27</v>
      </c>
      <c r="I4" s="26">
        <f>0.4*H4</f>
        <v>10.8</v>
      </c>
      <c r="J4" s="26">
        <v>2</v>
      </c>
      <c r="K4" s="38">
        <v>3.5</v>
      </c>
      <c r="L4" s="27"/>
      <c r="M4" s="18"/>
    </row>
    <row r="5" spans="1:13" x14ac:dyDescent="0.25">
      <c r="A5" s="37" t="s">
        <v>2</v>
      </c>
      <c r="B5" s="26">
        <v>16</v>
      </c>
      <c r="C5" s="26">
        <v>20</v>
      </c>
      <c r="D5" s="26">
        <v>24</v>
      </c>
      <c r="E5" s="26">
        <v>1.9</v>
      </c>
      <c r="F5" s="26">
        <v>1.3</v>
      </c>
      <c r="G5" s="26">
        <v>2.5</v>
      </c>
      <c r="H5" s="26">
        <v>29</v>
      </c>
      <c r="I5" s="26">
        <f t="shared" ref="I5:I17" si="0">0.4*H5</f>
        <v>11.600000000000001</v>
      </c>
      <c r="J5" s="26">
        <v>2</v>
      </c>
      <c r="K5" s="38">
        <v>3.5</v>
      </c>
      <c r="L5" s="27"/>
      <c r="M5" s="18"/>
    </row>
    <row r="6" spans="1:13" x14ac:dyDescent="0.25">
      <c r="A6" s="37" t="s">
        <v>3</v>
      </c>
      <c r="B6" s="26">
        <v>20</v>
      </c>
      <c r="C6" s="26">
        <v>25</v>
      </c>
      <c r="D6" s="26">
        <v>28</v>
      </c>
      <c r="E6" s="26">
        <v>2.2000000000000002</v>
      </c>
      <c r="F6" s="26">
        <v>1.5</v>
      </c>
      <c r="G6" s="26">
        <v>2.9</v>
      </c>
      <c r="H6" s="26">
        <v>30</v>
      </c>
      <c r="I6" s="26">
        <f t="shared" si="0"/>
        <v>12</v>
      </c>
      <c r="J6" s="26">
        <v>2</v>
      </c>
      <c r="K6" s="38">
        <v>3.5</v>
      </c>
      <c r="L6" s="27"/>
      <c r="M6" s="18"/>
    </row>
    <row r="7" spans="1:13" x14ac:dyDescent="0.25">
      <c r="A7" s="37" t="s">
        <v>4</v>
      </c>
      <c r="B7" s="26">
        <v>25</v>
      </c>
      <c r="C7" s="26">
        <v>30</v>
      </c>
      <c r="D7" s="26">
        <v>33</v>
      </c>
      <c r="E7" s="26">
        <v>2.6</v>
      </c>
      <c r="F7" s="26">
        <v>1.8</v>
      </c>
      <c r="G7" s="26">
        <v>3.3</v>
      </c>
      <c r="H7" s="26">
        <v>31</v>
      </c>
      <c r="I7" s="26">
        <f t="shared" si="0"/>
        <v>12.4</v>
      </c>
      <c r="J7" s="26">
        <v>2</v>
      </c>
      <c r="K7" s="38">
        <v>3.5</v>
      </c>
      <c r="L7" s="27"/>
      <c r="M7" s="18"/>
    </row>
    <row r="8" spans="1:13" x14ac:dyDescent="0.25">
      <c r="A8" s="37" t="s">
        <v>5</v>
      </c>
      <c r="B8" s="26">
        <v>30</v>
      </c>
      <c r="C8" s="26">
        <v>37</v>
      </c>
      <c r="D8" s="26">
        <v>38</v>
      </c>
      <c r="E8" s="26">
        <v>2.9</v>
      </c>
      <c r="F8" s="26">
        <v>2</v>
      </c>
      <c r="G8" s="26">
        <v>3.8</v>
      </c>
      <c r="H8" s="26">
        <v>33</v>
      </c>
      <c r="I8" s="26">
        <f t="shared" si="0"/>
        <v>13.200000000000001</v>
      </c>
      <c r="J8" s="26">
        <v>2</v>
      </c>
      <c r="K8" s="38">
        <v>3.5</v>
      </c>
      <c r="L8" s="27"/>
      <c r="M8" s="18"/>
    </row>
    <row r="9" spans="1:13" x14ac:dyDescent="0.25">
      <c r="A9" s="37" t="s">
        <v>6</v>
      </c>
      <c r="B9" s="26">
        <v>35</v>
      </c>
      <c r="C9" s="26">
        <v>45</v>
      </c>
      <c r="D9" s="26">
        <v>43</v>
      </c>
      <c r="E9" s="26">
        <v>3.2</v>
      </c>
      <c r="F9" s="26">
        <v>2.2000000000000002</v>
      </c>
      <c r="G9" s="26">
        <v>4.2</v>
      </c>
      <c r="H9" s="26">
        <v>34</v>
      </c>
      <c r="I9" s="26">
        <f t="shared" si="0"/>
        <v>13.600000000000001</v>
      </c>
      <c r="J9" s="26">
        <v>2</v>
      </c>
      <c r="K9" s="38">
        <v>3.5</v>
      </c>
      <c r="L9" s="27"/>
      <c r="M9" s="18"/>
    </row>
    <row r="10" spans="1:13" x14ac:dyDescent="0.25">
      <c r="A10" s="37" t="s">
        <v>7</v>
      </c>
      <c r="B10" s="26">
        <v>40</v>
      </c>
      <c r="C10" s="26">
        <v>50</v>
      </c>
      <c r="D10" s="26">
        <v>48</v>
      </c>
      <c r="E10" s="26">
        <v>3.5</v>
      </c>
      <c r="F10" s="26">
        <v>2.5</v>
      </c>
      <c r="G10" s="26">
        <v>4.5999999999999996</v>
      </c>
      <c r="H10" s="26">
        <v>35</v>
      </c>
      <c r="I10" s="26">
        <f t="shared" si="0"/>
        <v>14</v>
      </c>
      <c r="J10" s="26">
        <v>2</v>
      </c>
      <c r="K10" s="38">
        <v>3.5</v>
      </c>
      <c r="L10" s="27"/>
      <c r="M10" s="18"/>
    </row>
    <row r="11" spans="1:13" x14ac:dyDescent="0.25">
      <c r="A11" s="37" t="s">
        <v>31</v>
      </c>
      <c r="B11" s="26">
        <v>45</v>
      </c>
      <c r="C11" s="26">
        <v>55</v>
      </c>
      <c r="D11" s="26">
        <v>53</v>
      </c>
      <c r="E11" s="26">
        <v>3.8</v>
      </c>
      <c r="F11" s="26">
        <v>2.7</v>
      </c>
      <c r="G11" s="26">
        <v>4.9000000000000004</v>
      </c>
      <c r="H11" s="26">
        <v>36</v>
      </c>
      <c r="I11" s="26">
        <f t="shared" si="0"/>
        <v>14.4</v>
      </c>
      <c r="J11" s="26">
        <v>2</v>
      </c>
      <c r="K11" s="38">
        <v>3.5</v>
      </c>
      <c r="L11" s="27"/>
      <c r="M11" s="18"/>
    </row>
    <row r="12" spans="1:13" x14ac:dyDescent="0.25">
      <c r="A12" s="37" t="s">
        <v>8</v>
      </c>
      <c r="B12" s="26">
        <v>50</v>
      </c>
      <c r="C12" s="26">
        <v>60</v>
      </c>
      <c r="D12" s="26">
        <v>58</v>
      </c>
      <c r="E12" s="26">
        <v>4.0999999999999996</v>
      </c>
      <c r="F12" s="26">
        <v>2.9</v>
      </c>
      <c r="G12" s="26">
        <v>5.3</v>
      </c>
      <c r="H12" s="26">
        <v>37</v>
      </c>
      <c r="I12" s="26">
        <f t="shared" si="0"/>
        <v>14.8</v>
      </c>
      <c r="J12" s="26">
        <v>2</v>
      </c>
      <c r="K12" s="38">
        <v>3.5</v>
      </c>
      <c r="L12" s="27"/>
      <c r="M12" s="18"/>
    </row>
    <row r="13" spans="1:13" x14ac:dyDescent="0.25">
      <c r="A13" s="37" t="s">
        <v>32</v>
      </c>
      <c r="B13" s="26">
        <v>55</v>
      </c>
      <c r="C13" s="26">
        <v>67</v>
      </c>
      <c r="D13" s="26">
        <v>63</v>
      </c>
      <c r="E13" s="26">
        <v>4.2</v>
      </c>
      <c r="F13" s="26">
        <v>3</v>
      </c>
      <c r="G13" s="26">
        <v>5.5</v>
      </c>
      <c r="H13" s="26">
        <v>38</v>
      </c>
      <c r="I13" s="26">
        <f t="shared" si="0"/>
        <v>15.200000000000001</v>
      </c>
      <c r="J13" s="26">
        <v>2.2000000000000002</v>
      </c>
      <c r="K13" s="38">
        <v>3.1</v>
      </c>
      <c r="L13" s="27"/>
      <c r="M13" s="18"/>
    </row>
    <row r="14" spans="1:13" x14ac:dyDescent="0.25">
      <c r="A14" s="37" t="s">
        <v>33</v>
      </c>
      <c r="B14" s="26">
        <v>60</v>
      </c>
      <c r="C14" s="26">
        <v>75</v>
      </c>
      <c r="D14" s="26">
        <v>68</v>
      </c>
      <c r="E14" s="26">
        <v>4.4000000000000004</v>
      </c>
      <c r="F14" s="26">
        <v>3.1</v>
      </c>
      <c r="G14" s="26">
        <v>5.7</v>
      </c>
      <c r="H14" s="26">
        <v>39</v>
      </c>
      <c r="I14" s="26">
        <f t="shared" si="0"/>
        <v>15.600000000000001</v>
      </c>
      <c r="J14" s="26">
        <v>2.2999999999999998</v>
      </c>
      <c r="K14" s="38">
        <v>2.9</v>
      </c>
      <c r="L14" s="27"/>
      <c r="M14" s="18"/>
    </row>
    <row r="15" spans="1:13" x14ac:dyDescent="0.25">
      <c r="A15" s="37" t="s">
        <v>34</v>
      </c>
      <c r="B15" s="26">
        <v>70</v>
      </c>
      <c r="C15" s="26">
        <v>85</v>
      </c>
      <c r="D15" s="26">
        <v>78</v>
      </c>
      <c r="E15" s="26">
        <v>4.5999999999999996</v>
      </c>
      <c r="F15" s="26">
        <v>3.2</v>
      </c>
      <c r="G15" s="26">
        <v>6</v>
      </c>
      <c r="H15" s="26">
        <v>41</v>
      </c>
      <c r="I15" s="26">
        <f t="shared" si="0"/>
        <v>16.400000000000002</v>
      </c>
      <c r="J15" s="26">
        <v>2.4</v>
      </c>
      <c r="K15" s="38">
        <v>2.7</v>
      </c>
      <c r="L15" s="27"/>
      <c r="M15" s="18"/>
    </row>
    <row r="16" spans="1:13" x14ac:dyDescent="0.25">
      <c r="A16" s="37" t="s">
        <v>35</v>
      </c>
      <c r="B16" s="26">
        <v>80</v>
      </c>
      <c r="C16" s="26">
        <v>95</v>
      </c>
      <c r="D16" s="26">
        <v>88</v>
      </c>
      <c r="E16" s="26">
        <v>4.8</v>
      </c>
      <c r="F16" s="26">
        <v>3.4</v>
      </c>
      <c r="G16" s="26">
        <v>6.3</v>
      </c>
      <c r="H16" s="26">
        <v>43</v>
      </c>
      <c r="I16" s="26">
        <f t="shared" si="0"/>
        <v>17.2</v>
      </c>
      <c r="J16" s="26">
        <v>2.5</v>
      </c>
      <c r="K16" s="38">
        <v>2.6</v>
      </c>
      <c r="L16" s="27"/>
      <c r="M16" s="18"/>
    </row>
    <row r="17" spans="1:13" ht="17.25" thickBot="1" x14ac:dyDescent="0.3">
      <c r="A17" s="39" t="s">
        <v>36</v>
      </c>
      <c r="B17" s="40">
        <v>90</v>
      </c>
      <c r="C17" s="40">
        <v>105</v>
      </c>
      <c r="D17" s="40">
        <v>98</v>
      </c>
      <c r="E17" s="40">
        <v>5</v>
      </c>
      <c r="F17" s="40">
        <v>3.5</v>
      </c>
      <c r="G17" s="40">
        <v>6.6</v>
      </c>
      <c r="H17" s="40">
        <v>44</v>
      </c>
      <c r="I17" s="40">
        <f t="shared" si="0"/>
        <v>17.600000000000001</v>
      </c>
      <c r="J17" s="40">
        <v>2.6</v>
      </c>
      <c r="K17" s="41">
        <v>2.6</v>
      </c>
      <c r="L17" s="27"/>
      <c r="M17" s="18"/>
    </row>
    <row r="18" spans="1:13" ht="17.25" thickBot="1" x14ac:dyDescent="0.3"/>
    <row r="19" spans="1:13" x14ac:dyDescent="0.25">
      <c r="A19" s="195" t="s">
        <v>54</v>
      </c>
      <c r="B19" s="196"/>
      <c r="C19" s="196"/>
      <c r="D19" s="196"/>
      <c r="E19" s="196"/>
      <c r="F19" s="196"/>
      <c r="G19" s="196"/>
      <c r="H19" s="197"/>
    </row>
    <row r="20" spans="1:13" x14ac:dyDescent="0.25">
      <c r="A20" s="42" t="s">
        <v>9</v>
      </c>
      <c r="B20" s="28" t="s">
        <v>44</v>
      </c>
      <c r="C20" s="28" t="s">
        <v>45</v>
      </c>
      <c r="D20" s="28" t="s">
        <v>46</v>
      </c>
      <c r="E20" s="28" t="s">
        <v>47</v>
      </c>
      <c r="F20" s="28" t="s">
        <v>48</v>
      </c>
      <c r="G20" s="28" t="s">
        <v>49</v>
      </c>
      <c r="H20" s="43" t="s">
        <v>50</v>
      </c>
    </row>
    <row r="21" spans="1:13" x14ac:dyDescent="0.25">
      <c r="A21" s="44" t="s">
        <v>10</v>
      </c>
      <c r="B21" s="29">
        <v>210</v>
      </c>
      <c r="C21" s="30">
        <v>1.1499999999999999</v>
      </c>
      <c r="D21" s="31">
        <f>C21*B21</f>
        <v>241.49999999999997</v>
      </c>
      <c r="E21" s="31">
        <f>B21*1.35</f>
        <v>283.5</v>
      </c>
      <c r="F21" s="32">
        <f>E21*1000/H21</f>
        <v>1.35</v>
      </c>
      <c r="G21" s="31">
        <v>100</v>
      </c>
      <c r="H21" s="45">
        <f>2.1*10^5</f>
        <v>210000</v>
      </c>
    </row>
    <row r="22" spans="1:13" x14ac:dyDescent="0.25">
      <c r="A22" s="44" t="s">
        <v>11</v>
      </c>
      <c r="B22" s="29">
        <v>300</v>
      </c>
      <c r="C22" s="30">
        <v>1.1499999999999999</v>
      </c>
      <c r="D22" s="31">
        <f>C22*B22</f>
        <v>345</v>
      </c>
      <c r="E22" s="31">
        <f>B22*1.35</f>
        <v>405</v>
      </c>
      <c r="F22" s="32">
        <f>E22*1000/H22</f>
        <v>1.9285714285714286</v>
      </c>
      <c r="G22" s="31">
        <v>50</v>
      </c>
      <c r="H22" s="45">
        <f>2.1*10^5</f>
        <v>210000</v>
      </c>
    </row>
    <row r="23" spans="1:13" x14ac:dyDescent="0.25">
      <c r="A23" s="44" t="s">
        <v>12</v>
      </c>
      <c r="B23" s="29">
        <v>350</v>
      </c>
      <c r="C23" s="30">
        <v>1.1499999999999999</v>
      </c>
      <c r="D23" s="31">
        <f>C23*B23</f>
        <v>402.49999999999994</v>
      </c>
      <c r="E23" s="31">
        <f>B23*1.35</f>
        <v>472.50000000000006</v>
      </c>
      <c r="F23" s="32">
        <f>E23*1000/H23</f>
        <v>2.2500000000000004</v>
      </c>
      <c r="G23" s="31">
        <v>50</v>
      </c>
      <c r="H23" s="45">
        <f>2.1*10^5</f>
        <v>210000</v>
      </c>
    </row>
    <row r="24" spans="1:13" ht="17.25" thickBot="1" x14ac:dyDescent="0.3">
      <c r="A24" s="46" t="s">
        <v>60</v>
      </c>
      <c r="B24" s="47">
        <f>D24/C24</f>
        <v>434.78260869565219</v>
      </c>
      <c r="C24" s="48">
        <v>1.1499999999999999</v>
      </c>
      <c r="D24" s="49">
        <v>500</v>
      </c>
      <c r="E24" s="49">
        <v>550</v>
      </c>
      <c r="F24" s="50">
        <f>E24*1000/H24</f>
        <v>2.6190476190476191</v>
      </c>
      <c r="G24" s="49">
        <v>75</v>
      </c>
      <c r="H24" s="51">
        <f>2.1*10^5</f>
        <v>210000</v>
      </c>
    </row>
  </sheetData>
  <sheetProtection password="CFF4" sheet="1" objects="1" scenarios="1"/>
  <mergeCells count="2">
    <mergeCell ref="A19:H19"/>
    <mergeCell ref="A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26</vt:i4>
      </vt:variant>
    </vt:vector>
  </HeadingPairs>
  <TitlesOfParts>
    <vt:vector size="29" baseType="lpstr">
      <vt:lpstr>Fisurare SREN 1992-1.1</vt:lpstr>
      <vt:lpstr>Date de intrare si calcul</vt:lpstr>
      <vt:lpstr>Sheet1</vt:lpstr>
      <vt:lpstr>Beton</vt:lpstr>
      <vt:lpstr>Beton_Ecm</vt:lpstr>
      <vt:lpstr>Beton_fck</vt:lpstr>
      <vt:lpstr>Beton_fcm</vt:lpstr>
      <vt:lpstr>Beton_fctk</vt:lpstr>
      <vt:lpstr>Beton_fctm</vt:lpstr>
      <vt:lpstr>Beton_ε2</vt:lpstr>
      <vt:lpstr>Beton_εu</vt:lpstr>
      <vt:lpstr>fcd</vt:lpstr>
      <vt:lpstr>fck</vt:lpstr>
      <vt:lpstr>fcm</vt:lpstr>
      <vt:lpstr>fctd</vt:lpstr>
      <vt:lpstr>fctm</vt:lpstr>
      <vt:lpstr>fyd</vt:lpstr>
      <vt:lpstr>fyk</vt:lpstr>
      <vt:lpstr>fym</vt:lpstr>
      <vt:lpstr>fywd</vt:lpstr>
      <vt:lpstr>fywk</vt:lpstr>
      <vt:lpstr>fywm</vt:lpstr>
      <vt:lpstr>Otel</vt:lpstr>
      <vt:lpstr>Otel_Es</vt:lpstr>
      <vt:lpstr>Otel_fyk</vt:lpstr>
      <vt:lpstr>Otel_fym</vt:lpstr>
      <vt:lpstr>Otel_εo</vt:lpstr>
      <vt:lpstr>Otel_εu</vt:lpstr>
      <vt:lpstr>νfcd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CSD02</dc:creator>
  <cp:lastModifiedBy>Ingineri Asociați Construct</cp:lastModifiedBy>
  <cp:lastPrinted>2015-03-24T07:50:12Z</cp:lastPrinted>
  <dcterms:created xsi:type="dcterms:W3CDTF">2013-06-18T14:10:50Z</dcterms:created>
  <dcterms:modified xsi:type="dcterms:W3CDTF">2019-07-22T08:40:23Z</dcterms:modified>
</cp:coreProperties>
</file>